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480" windowWidth="14880" windowHeight="7635" tabRatio="949" firstSheet="4" activeTab="4"/>
  </bookViews>
  <sheets>
    <sheet name="01 Mesanina Andén Alt 1" sheetId="2" r:id="rId1"/>
    <sheet name="01 Mesanina Andén Alt 2" sheetId="6" r:id="rId2"/>
    <sheet name="01 Superficie Mesanina" sheetId="3" r:id="rId3"/>
    <sheet name="01 PARTIDAS Y PRECIOS" sheetId="4" r:id="rId4"/>
    <sheet name="Oferta El Llano" sheetId="16" r:id="rId5"/>
  </sheets>
  <definedNames>
    <definedName name="_xlnm.Print_Area" localSheetId="4">'Oferta El Llano'!$A$1:$F$28</definedName>
  </definedNames>
  <calcPr calcId="145621"/>
</workbook>
</file>

<file path=xl/calcChain.xml><?xml version="1.0" encoding="utf-8"?>
<calcChain xmlns="http://schemas.openxmlformats.org/spreadsheetml/2006/main">
  <c r="F8" i="16" l="1"/>
  <c r="F10" i="16"/>
  <c r="F11" i="16"/>
  <c r="F12" i="16"/>
  <c r="F14" i="16" l="1"/>
  <c r="F16" i="16" l="1"/>
  <c r="F20" i="16" l="1"/>
  <c r="F19" i="16"/>
  <c r="F18" i="16"/>
  <c r="F21" i="16" l="1"/>
  <c r="F22" i="16" l="1"/>
  <c r="F23" i="16" s="1"/>
  <c r="M13" i="4"/>
  <c r="R12" i="4"/>
  <c r="I16" i="6" l="1"/>
  <c r="M11" i="4" l="1"/>
  <c r="I28" i="6" l="1"/>
  <c r="I17" i="6"/>
  <c r="I15" i="6"/>
  <c r="H10" i="6"/>
  <c r="H12" i="6" s="1"/>
  <c r="E17" i="6" s="1"/>
  <c r="E99" i="4"/>
  <c r="I13" i="4" l="1"/>
  <c r="K13" i="4" s="1"/>
  <c r="E9" i="2" l="1"/>
  <c r="L12" i="4"/>
  <c r="M12" i="4" s="1"/>
  <c r="I12" i="4" s="1"/>
  <c r="E97" i="4" s="1"/>
  <c r="P48" i="6"/>
  <c r="P45" i="6"/>
  <c r="P44" i="6"/>
  <c r="P47" i="6"/>
  <c r="P46" i="6"/>
  <c r="L55" i="6"/>
  <c r="E45" i="6" s="1"/>
  <c r="L54" i="6"/>
  <c r="H47" i="6"/>
  <c r="H48" i="6"/>
  <c r="P37" i="6"/>
  <c r="P39" i="6"/>
  <c r="P38" i="6"/>
  <c r="P40" i="6" s="1"/>
  <c r="P41" i="6" s="1"/>
  <c r="E41" i="6" s="1"/>
  <c r="P32" i="6"/>
  <c r="H27" i="2"/>
  <c r="M31" i="6" s="1"/>
  <c r="M26" i="4"/>
  <c r="I26" i="4" s="1"/>
  <c r="K26" i="4" s="1"/>
  <c r="L33" i="4"/>
  <c r="M33" i="4" s="1"/>
  <c r="P23" i="6"/>
  <c r="P21" i="6"/>
  <c r="M26" i="6"/>
  <c r="M18" i="6"/>
  <c r="M16" i="6"/>
  <c r="M15" i="6"/>
  <c r="M25" i="6" s="1"/>
  <c r="L41" i="6"/>
  <c r="H40" i="6"/>
  <c r="L40" i="6" s="1"/>
  <c r="H39" i="6"/>
  <c r="H43" i="6" s="1"/>
  <c r="E34" i="6" s="1"/>
  <c r="H10" i="2"/>
  <c r="I29" i="6" s="1"/>
  <c r="H22" i="6"/>
  <c r="E24" i="6" s="1"/>
  <c r="L46" i="6" s="1"/>
  <c r="H24" i="6"/>
  <c r="H23" i="6"/>
  <c r="I31" i="6" s="1"/>
  <c r="H26" i="6" l="1"/>
  <c r="H49" i="6"/>
  <c r="H50" i="6" s="1"/>
  <c r="E42" i="6" s="1"/>
  <c r="I32" i="6"/>
  <c r="I33" i="6" s="1"/>
  <c r="E32" i="6" s="1"/>
  <c r="I30" i="6"/>
  <c r="H25" i="6"/>
  <c r="E31" i="6" s="1"/>
  <c r="M33" i="6"/>
  <c r="E39" i="6" s="1"/>
  <c r="H42" i="6"/>
  <c r="E27" i="6" s="1"/>
  <c r="M27" i="6"/>
  <c r="P30" i="6"/>
  <c r="P33" i="6" s="1"/>
  <c r="P34" i="6" s="1"/>
  <c r="E40" i="6" s="1"/>
  <c r="L47" i="6"/>
  <c r="E36" i="6"/>
  <c r="E35" i="6"/>
  <c r="P50" i="6"/>
  <c r="P51" i="6" s="1"/>
  <c r="E46" i="6" s="1"/>
  <c r="E71" i="4"/>
  <c r="E121" i="4"/>
  <c r="E29" i="6"/>
  <c r="E28" i="6"/>
  <c r="E72" i="4"/>
  <c r="E73" i="4"/>
  <c r="K12" i="4"/>
  <c r="E98" i="4"/>
  <c r="L48" i="6"/>
  <c r="E43" i="6" s="1"/>
  <c r="P24" i="6"/>
  <c r="P25" i="6" s="1"/>
  <c r="E21" i="6" s="1"/>
  <c r="M20" i="6"/>
  <c r="P26" i="6" s="1"/>
  <c r="E20" i="6" s="1"/>
  <c r="E11" i="6"/>
  <c r="E13" i="6"/>
  <c r="I18" i="6"/>
  <c r="E16" i="6" s="1"/>
  <c r="E9" i="6"/>
  <c r="G100" i="4"/>
  <c r="G119" i="4"/>
  <c r="G121" i="4"/>
  <c r="B128" i="4"/>
  <c r="C128" i="4"/>
  <c r="D128" i="4"/>
  <c r="B129" i="4"/>
  <c r="C129" i="4"/>
  <c r="B130" i="4"/>
  <c r="C130" i="4"/>
  <c r="D130" i="4"/>
  <c r="B131" i="4"/>
  <c r="C131" i="4"/>
  <c r="D131" i="4"/>
  <c r="B123" i="4"/>
  <c r="C123" i="4"/>
  <c r="D123" i="4"/>
  <c r="B124" i="4"/>
  <c r="C124" i="4"/>
  <c r="D124" i="4"/>
  <c r="B125" i="4"/>
  <c r="C125" i="4"/>
  <c r="D125" i="4"/>
  <c r="B126" i="4"/>
  <c r="C126" i="4"/>
  <c r="B127" i="4"/>
  <c r="C127" i="4"/>
  <c r="D127" i="4"/>
  <c r="B112" i="4"/>
  <c r="C112" i="4"/>
  <c r="B113" i="4"/>
  <c r="C113" i="4"/>
  <c r="D113" i="4"/>
  <c r="B114" i="4"/>
  <c r="C114" i="4"/>
  <c r="D114" i="4"/>
  <c r="B115" i="4"/>
  <c r="C115" i="4"/>
  <c r="D115" i="4"/>
  <c r="B116" i="4"/>
  <c r="C116" i="4"/>
  <c r="D116" i="4"/>
  <c r="B117" i="4"/>
  <c r="C117" i="4"/>
  <c r="D117" i="4"/>
  <c r="B118" i="4"/>
  <c r="C118" i="4"/>
  <c r="D118" i="4"/>
  <c r="B119" i="4"/>
  <c r="C119" i="4"/>
  <c r="B120" i="4"/>
  <c r="C120" i="4"/>
  <c r="B121" i="4"/>
  <c r="C121" i="4"/>
  <c r="D121" i="4"/>
  <c r="B122" i="4"/>
  <c r="C122" i="4"/>
  <c r="D122" i="4"/>
  <c r="B90" i="4"/>
  <c r="C90" i="4"/>
  <c r="B91" i="4"/>
  <c r="C91" i="4"/>
  <c r="D91" i="4"/>
  <c r="B92" i="4"/>
  <c r="C92" i="4"/>
  <c r="B93" i="4"/>
  <c r="C93" i="4"/>
  <c r="D93" i="4"/>
  <c r="B94" i="4"/>
  <c r="C94" i="4"/>
  <c r="B95" i="4"/>
  <c r="C95" i="4"/>
  <c r="D95" i="4"/>
  <c r="B96" i="4"/>
  <c r="C96" i="4"/>
  <c r="B97" i="4"/>
  <c r="C97" i="4"/>
  <c r="D97" i="4"/>
  <c r="B98" i="4"/>
  <c r="C98" i="4"/>
  <c r="D98" i="4"/>
  <c r="B99" i="4"/>
  <c r="C99" i="4"/>
  <c r="D99" i="4"/>
  <c r="B100" i="4"/>
  <c r="C100" i="4"/>
  <c r="B101" i="4"/>
  <c r="C101" i="4"/>
  <c r="B102" i="4"/>
  <c r="C102" i="4"/>
  <c r="D102" i="4"/>
  <c r="B103" i="4"/>
  <c r="C103" i="4"/>
  <c r="D103" i="4"/>
  <c r="B104" i="4"/>
  <c r="C104" i="4"/>
  <c r="D104" i="4"/>
  <c r="B105" i="4"/>
  <c r="C105" i="4"/>
  <c r="B106" i="4"/>
  <c r="C106" i="4"/>
  <c r="D106" i="4"/>
  <c r="B107" i="4"/>
  <c r="C107" i="4"/>
  <c r="D107" i="4"/>
  <c r="B108" i="4"/>
  <c r="C108" i="4"/>
  <c r="D108" i="4"/>
  <c r="B109" i="4"/>
  <c r="C109" i="4"/>
  <c r="D109" i="4"/>
  <c r="B110" i="4"/>
  <c r="C110" i="4"/>
  <c r="D110" i="4"/>
  <c r="B111" i="4"/>
  <c r="C111" i="4"/>
  <c r="D111" i="4"/>
  <c r="C89" i="4"/>
  <c r="B89" i="4"/>
  <c r="E122" i="4" l="1"/>
  <c r="G99" i="4"/>
  <c r="E25" i="6"/>
  <c r="G98" i="4"/>
  <c r="E15" i="6"/>
  <c r="E22" i="6"/>
  <c r="G97" i="4"/>
  <c r="E123" i="4" l="1"/>
  <c r="G122" i="4"/>
  <c r="E14" i="3"/>
  <c r="I69" i="3"/>
  <c r="I61" i="3"/>
  <c r="L44" i="3"/>
  <c r="K43" i="3"/>
  <c r="I40" i="3"/>
  <c r="I37" i="3" s="1"/>
  <c r="I51" i="3"/>
  <c r="I49" i="3" s="1"/>
  <c r="I33" i="4"/>
  <c r="E32" i="2"/>
  <c r="M30" i="4"/>
  <c r="I30" i="4" s="1"/>
  <c r="M29" i="4"/>
  <c r="I29" i="4" s="1"/>
  <c r="M28" i="4"/>
  <c r="I28" i="4" s="1"/>
  <c r="M27" i="4"/>
  <c r="I27" i="4" s="1"/>
  <c r="K27" i="4" s="1"/>
  <c r="I65" i="3"/>
  <c r="I57" i="3"/>
  <c r="I53" i="3"/>
  <c r="I45" i="3"/>
  <c r="E63" i="4"/>
  <c r="E111" i="4" s="1"/>
  <c r="K24" i="4"/>
  <c r="M24" i="4"/>
  <c r="H15" i="2"/>
  <c r="E13" i="2"/>
  <c r="E84" i="4"/>
  <c r="K35" i="4"/>
  <c r="D84" i="4"/>
  <c r="C84" i="4"/>
  <c r="E43" i="3"/>
  <c r="E42" i="3"/>
  <c r="I38" i="4"/>
  <c r="E34" i="3"/>
  <c r="L34" i="4"/>
  <c r="M34" i="4" s="1"/>
  <c r="I34" i="4" s="1"/>
  <c r="E82" i="4" s="1"/>
  <c r="R41" i="4"/>
  <c r="L43" i="4" s="1"/>
  <c r="M15" i="4"/>
  <c r="I15" i="4" s="1"/>
  <c r="E7" i="4" s="1"/>
  <c r="M23" i="4"/>
  <c r="I23" i="4" s="1"/>
  <c r="K23" i="4" s="1"/>
  <c r="M31" i="4"/>
  <c r="I31" i="4" s="1"/>
  <c r="E37" i="4" s="1"/>
  <c r="M32" i="4"/>
  <c r="I32" i="4" s="1"/>
  <c r="E26" i="3"/>
  <c r="H19" i="2"/>
  <c r="E26" i="2" s="1"/>
  <c r="M21" i="4"/>
  <c r="L38" i="4" s="1"/>
  <c r="L22" i="4"/>
  <c r="M22" i="4" s="1"/>
  <c r="M20" i="4"/>
  <c r="I20" i="4" s="1"/>
  <c r="M19" i="4"/>
  <c r="I19" i="4" s="1"/>
  <c r="E18" i="4" s="1"/>
  <c r="M17" i="4"/>
  <c r="I17" i="4" s="1"/>
  <c r="E26" i="4" s="1"/>
  <c r="I11" i="4"/>
  <c r="E13" i="4" s="1"/>
  <c r="M10" i="4"/>
  <c r="I10" i="4" s="1"/>
  <c r="E10" i="4" s="1"/>
  <c r="M9" i="4"/>
  <c r="I9" i="4" s="1"/>
  <c r="I18" i="4"/>
  <c r="J18" i="4"/>
  <c r="H15" i="4"/>
  <c r="I28" i="3"/>
  <c r="I26" i="3"/>
  <c r="E21" i="3"/>
  <c r="E19" i="3"/>
  <c r="E20" i="3" s="1"/>
  <c r="E17" i="3"/>
  <c r="E33" i="3"/>
  <c r="E38" i="3"/>
  <c r="E36" i="3"/>
  <c r="E32" i="3"/>
  <c r="I20" i="3"/>
  <c r="I23" i="3" s="1"/>
  <c r="I19" i="3"/>
  <c r="E11" i="3"/>
  <c r="E10" i="3"/>
  <c r="I8" i="3"/>
  <c r="E9" i="3" s="1"/>
  <c r="E37" i="2"/>
  <c r="E33" i="2"/>
  <c r="E30" i="2"/>
  <c r="H30" i="2"/>
  <c r="E28" i="2" s="1"/>
  <c r="H29" i="2"/>
  <c r="H28" i="2"/>
  <c r="E25" i="2"/>
  <c r="E19" i="2"/>
  <c r="E20" i="2" s="1"/>
  <c r="E12" i="2"/>
  <c r="H17" i="2"/>
  <c r="H24" i="2"/>
  <c r="E22" i="2" s="1"/>
  <c r="K9" i="4" l="1"/>
  <c r="E9" i="4"/>
  <c r="E11" i="4"/>
  <c r="I41" i="3"/>
  <c r="E13" i="3"/>
  <c r="G63" i="4"/>
  <c r="E27" i="2"/>
  <c r="G123" i="4"/>
  <c r="K28" i="4"/>
  <c r="E125" i="4"/>
  <c r="I73" i="3"/>
  <c r="E28" i="3" s="1"/>
  <c r="E16" i="2"/>
  <c r="E65" i="4"/>
  <c r="E103" i="4"/>
  <c r="E102" i="4"/>
  <c r="E118" i="4"/>
  <c r="G111" i="4"/>
  <c r="K20" i="4"/>
  <c r="E104" i="4"/>
  <c r="E17" i="2"/>
  <c r="E41" i="3"/>
  <c r="E34" i="4"/>
  <c r="G34" i="4" s="1"/>
  <c r="E128" i="4"/>
  <c r="L40" i="4"/>
  <c r="M40" i="4" s="1"/>
  <c r="I40" i="4" s="1"/>
  <c r="L42" i="4"/>
  <c r="M42" i="4" s="1"/>
  <c r="I42" i="4" s="1"/>
  <c r="E130" i="4" s="1"/>
  <c r="M43" i="4"/>
  <c r="I43" i="4" s="1"/>
  <c r="E131" i="4" s="1"/>
  <c r="L38" i="6"/>
  <c r="E14" i="2"/>
  <c r="E79" i="4"/>
  <c r="E124" i="4"/>
  <c r="L39" i="4"/>
  <c r="M39" i="4" s="1"/>
  <c r="I39" i="4" s="1"/>
  <c r="K39" i="4" s="1"/>
  <c r="E55" i="4"/>
  <c r="G55" i="4" s="1"/>
  <c r="E91" i="4"/>
  <c r="G84" i="4"/>
  <c r="E41" i="4"/>
  <c r="K33" i="4"/>
  <c r="E62" i="4"/>
  <c r="E110" i="4" s="1"/>
  <c r="K18" i="4"/>
  <c r="E36" i="2"/>
  <c r="E37" i="3"/>
  <c r="E22" i="3"/>
  <c r="E15" i="2"/>
  <c r="E18" i="3"/>
  <c r="K38" i="4"/>
  <c r="E39" i="4"/>
  <c r="I30" i="3"/>
  <c r="I31" i="3" s="1"/>
  <c r="I32" i="3" s="1"/>
  <c r="E24" i="3" s="1"/>
  <c r="E38" i="4"/>
  <c r="G38" i="4" s="1"/>
  <c r="K32" i="4"/>
  <c r="E43" i="4"/>
  <c r="G43" i="4" s="1"/>
  <c r="K29" i="4"/>
  <c r="K34" i="4"/>
  <c r="K30" i="4"/>
  <c r="E42" i="4"/>
  <c r="K31" i="4"/>
  <c r="E32" i="4"/>
  <c r="I22" i="4"/>
  <c r="I21" i="4"/>
  <c r="K19" i="4"/>
  <c r="G13" i="4"/>
  <c r="E14" i="4"/>
  <c r="K11" i="4"/>
  <c r="K10" i="4"/>
  <c r="G11" i="4"/>
  <c r="K17" i="4"/>
  <c r="K15" i="4"/>
  <c r="E58" i="4"/>
  <c r="E21" i="4"/>
  <c r="G82" i="4"/>
  <c r="E46" i="4"/>
  <c r="G37" i="4"/>
  <c r="E36" i="4"/>
  <c r="E76" i="4"/>
  <c r="E33" i="4"/>
  <c r="E66" i="4"/>
  <c r="G26" i="4"/>
  <c r="E25" i="4"/>
  <c r="E29" i="4"/>
  <c r="G29" i="4" s="1"/>
  <c r="E22" i="4"/>
  <c r="E20" i="4"/>
  <c r="G18" i="4"/>
  <c r="G7" i="4"/>
  <c r="E19" i="4"/>
  <c r="E17" i="4"/>
  <c r="E74" i="4"/>
  <c r="E78" i="4"/>
  <c r="E83" i="4"/>
  <c r="E28" i="4"/>
  <c r="E53" i="4"/>
  <c r="G79" i="4" l="1"/>
  <c r="G62" i="4"/>
  <c r="E45" i="4"/>
  <c r="G45" i="4" s="1"/>
  <c r="H37" i="2"/>
  <c r="I37" i="2" s="1"/>
  <c r="G102" i="4"/>
  <c r="G103" i="4"/>
  <c r="E29" i="3"/>
  <c r="E106" i="4"/>
  <c r="E117" i="4"/>
  <c r="G110" i="4"/>
  <c r="G124" i="4"/>
  <c r="G128" i="4"/>
  <c r="G104" i="4"/>
  <c r="E127" i="4"/>
  <c r="G125" i="4"/>
  <c r="G130" i="4"/>
  <c r="G41" i="4"/>
  <c r="L43" i="6"/>
  <c r="E33" i="6" s="1"/>
  <c r="L42" i="6"/>
  <c r="E26" i="6" s="1"/>
  <c r="G131" i="4"/>
  <c r="G118" i="4"/>
  <c r="E81" i="4"/>
  <c r="K40" i="4"/>
  <c r="E93" i="4"/>
  <c r="G91" i="4"/>
  <c r="G58" i="4"/>
  <c r="G32" i="4"/>
  <c r="G42" i="4"/>
  <c r="G39" i="4"/>
  <c r="E59" i="4"/>
  <c r="E60" i="4"/>
  <c r="E108" i="4" s="1"/>
  <c r="E61" i="4"/>
  <c r="E68" i="4"/>
  <c r="K22" i="4"/>
  <c r="E24" i="4"/>
  <c r="K21" i="4"/>
  <c r="G66" i="4"/>
  <c r="G14" i="4"/>
  <c r="G21" i="4"/>
  <c r="G73" i="4"/>
  <c r="G83" i="4"/>
  <c r="G46" i="4"/>
  <c r="G78" i="4"/>
  <c r="G36" i="4"/>
  <c r="G74" i="4"/>
  <c r="G76" i="4"/>
  <c r="G33" i="4"/>
  <c r="G71" i="4"/>
  <c r="G65" i="4"/>
  <c r="G28" i="4"/>
  <c r="G19" i="4"/>
  <c r="G17" i="4"/>
  <c r="G25" i="4"/>
  <c r="G22" i="4"/>
  <c r="G20" i="4"/>
  <c r="G53" i="4"/>
  <c r="G10" i="4"/>
  <c r="G9" i="4"/>
  <c r="E113" i="4" l="1"/>
  <c r="G106" i="4"/>
  <c r="G61" i="4"/>
  <c r="E109" i="4"/>
  <c r="E115" i="4"/>
  <c r="G108" i="4"/>
  <c r="G127" i="4"/>
  <c r="G59" i="4"/>
  <c r="E107" i="4"/>
  <c r="G117" i="4"/>
  <c r="E95" i="4"/>
  <c r="G93" i="4"/>
  <c r="G81" i="4"/>
  <c r="G72" i="4"/>
  <c r="G60" i="4"/>
  <c r="G68" i="4"/>
  <c r="G24" i="4"/>
  <c r="E114" i="4" l="1"/>
  <c r="G107" i="4"/>
  <c r="E116" i="4"/>
  <c r="G109" i="4"/>
  <c r="G113" i="4"/>
  <c r="G115" i="4"/>
  <c r="G95" i="4"/>
  <c r="G116" i="4" l="1"/>
  <c r="G114" i="4"/>
</calcChain>
</file>

<file path=xl/sharedStrings.xml><?xml version="1.0" encoding="utf-8"?>
<sst xmlns="http://schemas.openxmlformats.org/spreadsheetml/2006/main" count="1003" uniqueCount="416">
  <si>
    <t>Preparación</t>
  </si>
  <si>
    <t>Obra Civil</t>
  </si>
  <si>
    <t>Terminaciones</t>
  </si>
  <si>
    <t>Ítem</t>
  </si>
  <si>
    <t>Glosa</t>
  </si>
  <si>
    <t>unidad</t>
  </si>
  <si>
    <t>cantidad</t>
  </si>
  <si>
    <t>Cambio de servicios</t>
  </si>
  <si>
    <t>Excavación</t>
  </si>
  <si>
    <t>gl</t>
  </si>
  <si>
    <t>m3</t>
  </si>
  <si>
    <t>Nueva escalera túnel</t>
  </si>
  <si>
    <t>Hormigón</t>
  </si>
  <si>
    <t>Armaduras</t>
  </si>
  <si>
    <t>2,1,1</t>
  </si>
  <si>
    <t>2,1,2</t>
  </si>
  <si>
    <t>Caseta superficial</t>
  </si>
  <si>
    <t>Acero estructural</t>
  </si>
  <si>
    <t>2,2,1</t>
  </si>
  <si>
    <t>2,2,2</t>
  </si>
  <si>
    <t>2,2,3</t>
  </si>
  <si>
    <t>2,3,1</t>
  </si>
  <si>
    <t>Nicho Subterraneo de hormigón</t>
  </si>
  <si>
    <t>2,3,2</t>
  </si>
  <si>
    <t>kg</t>
  </si>
  <si>
    <t>Terminaciones escalera</t>
  </si>
  <si>
    <t>Goma antidezlisante</t>
  </si>
  <si>
    <t>3,1,2</t>
  </si>
  <si>
    <t>3,1,1</t>
  </si>
  <si>
    <t>Terminaciones Caseta superficial</t>
  </si>
  <si>
    <t>Anclajes</t>
  </si>
  <si>
    <t>Techumbre</t>
  </si>
  <si>
    <t>ml</t>
  </si>
  <si>
    <t>m2</t>
  </si>
  <si>
    <t>Vidrio Laminado y templado 1cm</t>
  </si>
  <si>
    <t>un</t>
  </si>
  <si>
    <t>Terminacion nicho</t>
  </si>
  <si>
    <t>Placa de acero</t>
  </si>
  <si>
    <t>Iluminación</t>
  </si>
  <si>
    <t>3,2,1</t>
  </si>
  <si>
    <t>3,2,2</t>
  </si>
  <si>
    <t>3,2,3</t>
  </si>
  <si>
    <t>3,2,4</t>
  </si>
  <si>
    <t>3,2,5</t>
  </si>
  <si>
    <t>3,3,1</t>
  </si>
  <si>
    <t>Iluminación y canalizaciones</t>
  </si>
  <si>
    <t>canalizaciones eléctricas</t>
  </si>
  <si>
    <t>3,4,1</t>
  </si>
  <si>
    <t>3,4,2</t>
  </si>
  <si>
    <t>Cubicaciones Superficie Mesaninas</t>
  </si>
  <si>
    <t>Pasarela</t>
  </si>
  <si>
    <t>Demolición viga cierre mesanina</t>
  </si>
  <si>
    <t>1,1,1</t>
  </si>
  <si>
    <t>1,2,1</t>
  </si>
  <si>
    <t>Demolición estructura</t>
  </si>
  <si>
    <t>1,3,1</t>
  </si>
  <si>
    <t>Demolición Estructura</t>
  </si>
  <si>
    <t>Perforaciòn andén para Nicho</t>
  </si>
  <si>
    <t>Placa colaborante Instadeck</t>
  </si>
  <si>
    <t>Hormigón H30</t>
  </si>
  <si>
    <t>Nicho en andén</t>
  </si>
  <si>
    <t>2,1,3</t>
  </si>
  <si>
    <t>2,1,4</t>
  </si>
  <si>
    <t>2,1,5</t>
  </si>
  <si>
    <t>Estructura contención ascensor</t>
  </si>
  <si>
    <t>Perfil 100x100x4</t>
  </si>
  <si>
    <t>Barandas</t>
  </si>
  <si>
    <t>Perfiles de Apoyo baranda 60x40x4</t>
  </si>
  <si>
    <t>Baranda 6cm</t>
  </si>
  <si>
    <r>
      <t>Ptos de apoyo</t>
    </r>
    <r>
      <rPr>
        <sz val="11"/>
        <color theme="1"/>
        <rFont val="Symbol"/>
        <family val="1"/>
        <charset val="2"/>
      </rPr>
      <t xml:space="preserve"> f</t>
    </r>
    <r>
      <rPr>
        <sz val="11"/>
        <color theme="1"/>
        <rFont val="Calibri"/>
        <family val="2"/>
        <scheme val="minor"/>
      </rPr>
      <t>10mm</t>
    </r>
  </si>
  <si>
    <t>3,1,3</t>
  </si>
  <si>
    <t>3,1,4</t>
  </si>
  <si>
    <t>Vidrio templado laminado</t>
  </si>
  <si>
    <t>Terminación Piso</t>
  </si>
  <si>
    <t>Baldosas similar a metro</t>
  </si>
  <si>
    <t>Terminación estructura ascensor</t>
  </si>
  <si>
    <t>Vidrio Templado Laminado</t>
  </si>
  <si>
    <t>3,3,2</t>
  </si>
  <si>
    <t>Iluminación inferior pasarela</t>
  </si>
  <si>
    <t>Canalizaciones electricas iluminacion</t>
  </si>
  <si>
    <t>3,4,3</t>
  </si>
  <si>
    <t>Canalizaciones electricas Ascensor</t>
  </si>
  <si>
    <t>Dimensiones principales</t>
  </si>
  <si>
    <t>L1</t>
  </si>
  <si>
    <t>L2</t>
  </si>
  <si>
    <t>m</t>
  </si>
  <si>
    <t>e1</t>
  </si>
  <si>
    <t>e2</t>
  </si>
  <si>
    <t>cm</t>
  </si>
  <si>
    <t>Hacensores</t>
  </si>
  <si>
    <t>-</t>
  </si>
  <si>
    <t>Nº de vigas 2 apoyos</t>
  </si>
  <si>
    <t>Nº de vigas 1 apoyo</t>
  </si>
  <si>
    <t>Espesor viga apoyo</t>
  </si>
  <si>
    <t>Nº tirantes</t>
  </si>
  <si>
    <t>Ltirantespromedio</t>
  </si>
  <si>
    <t>Área Tirantes</t>
  </si>
  <si>
    <t>Area Perfil de borde</t>
  </si>
  <si>
    <t>PESO ACERO</t>
  </si>
  <si>
    <t>kgf/m3</t>
  </si>
  <si>
    <t>Área Perfil de apoyo</t>
  </si>
  <si>
    <t>Por lado</t>
  </si>
  <si>
    <t>Por Linea</t>
  </si>
  <si>
    <t>Profundidad andén</t>
  </si>
  <si>
    <t>espesor nicho</t>
  </si>
  <si>
    <t>Largo Ascensor</t>
  </si>
  <si>
    <t>Ancho Ascensor</t>
  </si>
  <si>
    <t>Área perfil estructura de contenciòn</t>
  </si>
  <si>
    <t>Numero de marcos</t>
  </si>
  <si>
    <t>Hmesasina</t>
  </si>
  <si>
    <t>Número de perfiles de baranda</t>
  </si>
  <si>
    <t>Area Perfil de baranda</t>
  </si>
  <si>
    <t>Area ptos de apoyo</t>
  </si>
  <si>
    <t>Longitud ptos de apoyo</t>
  </si>
  <si>
    <t>Longitud planchas</t>
  </si>
  <si>
    <t>altura vidrio</t>
  </si>
  <si>
    <t>Cambio de servicios post levantamiento</t>
  </si>
  <si>
    <t>Demoliciones</t>
  </si>
  <si>
    <t>Excavación nicho ascensor</t>
  </si>
  <si>
    <t>1,3,2</t>
  </si>
  <si>
    <t>Excavación modificaciòn escalera</t>
  </si>
  <si>
    <t>Demolición losa y escalera en traslado escalera</t>
  </si>
  <si>
    <t>1,2,2</t>
  </si>
  <si>
    <t>1,2,3</t>
  </si>
  <si>
    <t>Demolición ingreso nicho ascensor</t>
  </si>
  <si>
    <t>Armaduras escalera</t>
  </si>
  <si>
    <t>Hormigón escalera</t>
  </si>
  <si>
    <t>2,1,6</t>
  </si>
  <si>
    <t>Armaduras losa</t>
  </si>
  <si>
    <t>Hormigón losa</t>
  </si>
  <si>
    <t>Hormigón muros acceso</t>
  </si>
  <si>
    <t>Armaduras muros acceso</t>
  </si>
  <si>
    <t>Baldosín pisos modificación Losa</t>
  </si>
  <si>
    <t>Mosaicos en muros escalera</t>
  </si>
  <si>
    <t>3,3,3</t>
  </si>
  <si>
    <t>Baldosin en Nicho ascensor</t>
  </si>
  <si>
    <t>mosaicos en muros nicho</t>
  </si>
  <si>
    <t>Escalera y muro de contención</t>
  </si>
  <si>
    <t>e muro existente</t>
  </si>
  <si>
    <t>e escalera</t>
  </si>
  <si>
    <t>ancho escalera demoler</t>
  </si>
  <si>
    <t>Alto</t>
  </si>
  <si>
    <t>largo</t>
  </si>
  <si>
    <t>Longitud demolicion en tunel</t>
  </si>
  <si>
    <t>Espesor promedio escalera-losa</t>
  </si>
  <si>
    <t>áncho tunel inferior</t>
  </si>
  <si>
    <t>Àncho ingreso</t>
  </si>
  <si>
    <t>espesor ingreso</t>
  </si>
  <si>
    <t>alto ingreso</t>
  </si>
  <si>
    <t>ancho losa</t>
  </si>
  <si>
    <t>alto losa</t>
  </si>
  <si>
    <t>Alto exc principal promedio</t>
  </si>
  <si>
    <t>Àncho nicho</t>
  </si>
  <si>
    <t>Largo</t>
  </si>
  <si>
    <t>ancho NI</t>
  </si>
  <si>
    <t>alto Nicho Inferior</t>
  </si>
  <si>
    <t>Largo NI</t>
  </si>
  <si>
    <t>Reja acero de protección</t>
  </si>
  <si>
    <t>Marco cerrado</t>
  </si>
  <si>
    <t>Numero marcos cerrados</t>
  </si>
  <si>
    <t>columnas</t>
  </si>
  <si>
    <t>kg/ml</t>
  </si>
  <si>
    <t>menos base</t>
  </si>
  <si>
    <t>Peso total</t>
  </si>
  <si>
    <t>area/m</t>
  </si>
  <si>
    <t>peso /m</t>
  </si>
  <si>
    <t>kgf</t>
  </si>
  <si>
    <t>GLOSAS PARA PRECIOS</t>
  </si>
  <si>
    <t>Demolición HA en Superficie</t>
  </si>
  <si>
    <t>Demolición HA Andenes</t>
  </si>
  <si>
    <t>Perforación andén para Nicho</t>
  </si>
  <si>
    <t>Globales</t>
  </si>
  <si>
    <t>Preparación de Terreno</t>
  </si>
  <si>
    <t>Obras civiles</t>
  </si>
  <si>
    <t>Hormigón entrada</t>
  </si>
  <si>
    <t>Hormigón en andén</t>
  </si>
  <si>
    <t>Armadura en entrada</t>
  </si>
  <si>
    <t>Armadura en andén</t>
  </si>
  <si>
    <t>Acero en entrada</t>
  </si>
  <si>
    <t>Acero en andén</t>
  </si>
  <si>
    <t>Placa colaborante</t>
  </si>
  <si>
    <t>Precios</t>
  </si>
  <si>
    <t>Baldosín</t>
  </si>
  <si>
    <t>Mosaicos</t>
  </si>
  <si>
    <t>Reja de acero de protección</t>
  </si>
  <si>
    <t>techumbre  ascensor mesanina-superficie</t>
  </si>
  <si>
    <t>Iluminación Ascensor  mesanina-superficie</t>
  </si>
  <si>
    <t>Iluminacion inferior pasarela</t>
  </si>
  <si>
    <t>Sujeciones vidrio</t>
  </si>
  <si>
    <t>Placa acero</t>
  </si>
  <si>
    <t>Canalizaciones electricas</t>
  </si>
  <si>
    <t>Unidades</t>
  </si>
  <si>
    <t>Precio</t>
  </si>
  <si>
    <t>Unidad</t>
  </si>
  <si>
    <t>UF</t>
  </si>
  <si>
    <t>Tirante 6cm</t>
  </si>
  <si>
    <t>Precios UF</t>
  </si>
  <si>
    <t>PESOS</t>
  </si>
  <si>
    <t>horm pique</t>
  </si>
  <si>
    <t>armaduras A63-42H</t>
  </si>
  <si>
    <t>1,5* Armadura entrada</t>
  </si>
  <si>
    <t>Marcos metalicos</t>
  </si>
  <si>
    <t>1,5*marcos metalicos</t>
  </si>
  <si>
    <t>Precio $</t>
  </si>
  <si>
    <t>Valor comercial*2(por instalacion)/(Área -10cm por traslape)</t>
  </si>
  <si>
    <t>horm pilas*1,2</t>
  </si>
  <si>
    <t>Datos Crudos</t>
  </si>
  <si>
    <t>Valor adoptado</t>
  </si>
  <si>
    <t>comentarios</t>
  </si>
  <si>
    <t>ARMADURAS</t>
  </si>
  <si>
    <t>Instalación de 16 luces</t>
  </si>
  <si>
    <t>Instalación de 2 luces</t>
  </si>
  <si>
    <t>Sin dato, es el elemento de acero para sujetar el vidrio</t>
  </si>
  <si>
    <t>Bandeja portaconductores metálica</t>
  </si>
  <si>
    <t>1185 un</t>
  </si>
  <si>
    <t>194 un</t>
  </si>
  <si>
    <t>18 de proyecto</t>
  </si>
  <si>
    <t>uf</t>
  </si>
  <si>
    <t>Montajes</t>
  </si>
  <si>
    <t>Total por elemento</t>
  </si>
  <si>
    <t>Uf</t>
  </si>
  <si>
    <t>Luces</t>
  </si>
  <si>
    <t>Conductores</t>
  </si>
  <si>
    <t>Escalerilla menor</t>
  </si>
  <si>
    <t>32 Uf acero + 18uf terminacion</t>
  </si>
  <si>
    <t>3,4,4</t>
  </si>
  <si>
    <t>Torniquete adicional</t>
  </si>
  <si>
    <t>Sin datos</t>
  </si>
  <si>
    <t>Perfil de borde 25x15x30,1</t>
  </si>
  <si>
    <t>Perfil Apoyo IN 25x46,6</t>
  </si>
  <si>
    <t>Malla C188 *1,5</t>
  </si>
  <si>
    <t>Malla electrosoldada</t>
  </si>
  <si>
    <t>Malla electrosoldada de retracción</t>
  </si>
  <si>
    <t>Muro Lado estaciòn</t>
  </si>
  <si>
    <t>Muro lado baranda</t>
  </si>
  <si>
    <t>Muro de cierre frontal ascensor</t>
  </si>
  <si>
    <t>Muro cierre nicho ascensor</t>
  </si>
  <si>
    <t>Muro de cierre tracero ascensor</t>
  </si>
  <si>
    <t>Losa inferior Nicho</t>
  </si>
  <si>
    <t>Losa superior pasillo entrada</t>
  </si>
  <si>
    <t>Espesor</t>
  </si>
  <si>
    <t>espesor</t>
  </si>
  <si>
    <t>alto</t>
  </si>
  <si>
    <t>áncho</t>
  </si>
  <si>
    <t>profundidad</t>
  </si>
  <si>
    <t>TOTAL</t>
  </si>
  <si>
    <r>
      <t>Puntos de apoyo</t>
    </r>
    <r>
      <rPr>
        <sz val="11"/>
        <color theme="1"/>
        <rFont val="Symbol"/>
        <family val="1"/>
        <charset val="2"/>
      </rPr>
      <t xml:space="preserve"> f</t>
    </r>
    <r>
      <rPr>
        <sz val="11"/>
        <color theme="1"/>
        <rFont val="Calibri"/>
        <family val="2"/>
        <scheme val="minor"/>
      </rPr>
      <t>10mm</t>
    </r>
  </si>
  <si>
    <t>Losa inferior pasillo entrada</t>
  </si>
  <si>
    <t>Cierre frontal nicho</t>
  </si>
  <si>
    <t>ancho</t>
  </si>
  <si>
    <t>Obras Previas Movimiento de Tierras/Demoliciones</t>
  </si>
  <si>
    <t>Obras Previas /Demoliciones</t>
  </si>
  <si>
    <t>Ascensor Superficie - Mesaninas</t>
  </si>
  <si>
    <t>Demolicion</t>
  </si>
  <si>
    <t>Demolicion muro curvo</t>
  </si>
  <si>
    <t>Demolición Muro recto por secciones</t>
  </si>
  <si>
    <t>Excavación del nicho de hormigón</t>
  </si>
  <si>
    <t>Nicho de hormigon</t>
  </si>
  <si>
    <t>Demolicion acceso a pasarela</t>
  </si>
  <si>
    <t>Demolición</t>
  </si>
  <si>
    <t>Excavación etapa 1</t>
  </si>
  <si>
    <t>Excavación etapa 2</t>
  </si>
  <si>
    <t>Pasarela 1</t>
  </si>
  <si>
    <t>Pasarela 2</t>
  </si>
  <si>
    <t>terminaciones</t>
  </si>
  <si>
    <t>Terminaciones pasarela</t>
  </si>
  <si>
    <t>Terminaciones nicho de hormigón</t>
  </si>
  <si>
    <t>Terminaciones eléctricas</t>
  </si>
  <si>
    <t>Hormigón Muros</t>
  </si>
  <si>
    <t>Hormigón Losas</t>
  </si>
  <si>
    <t>1,4,1</t>
  </si>
  <si>
    <t>1,4,2</t>
  </si>
  <si>
    <t>1,4,3</t>
  </si>
  <si>
    <t>2,3,3</t>
  </si>
  <si>
    <t>2,3,4</t>
  </si>
  <si>
    <t>2,3,5</t>
  </si>
  <si>
    <t>2,3,6</t>
  </si>
  <si>
    <t>2,2,4</t>
  </si>
  <si>
    <t>2,2,5</t>
  </si>
  <si>
    <t>2,2,6</t>
  </si>
  <si>
    <t>3,1,5</t>
  </si>
  <si>
    <t>Iluminación bajo  pasarela</t>
  </si>
  <si>
    <t>Iluminacion nicho</t>
  </si>
  <si>
    <t>EXC</t>
  </si>
  <si>
    <t>Reparticion en etapas</t>
  </si>
  <si>
    <t>Area total</t>
  </si>
  <si>
    <t>A1</t>
  </si>
  <si>
    <t>A2</t>
  </si>
  <si>
    <t>Perfil de borde</t>
  </si>
  <si>
    <t>Aperfil</t>
  </si>
  <si>
    <t>Pperfil</t>
  </si>
  <si>
    <t>Áreas</t>
  </si>
  <si>
    <t>Tirantes</t>
  </si>
  <si>
    <t>Total Pasarela 1</t>
  </si>
  <si>
    <t>Total pasarela 2</t>
  </si>
  <si>
    <t>Peso pasarela 1</t>
  </si>
  <si>
    <t>peso pasarela 2</t>
  </si>
  <si>
    <t>Apoyo tirantes</t>
  </si>
  <si>
    <t>área perfil</t>
  </si>
  <si>
    <t>longitud perfil</t>
  </si>
  <si>
    <t>numero pasarela 1</t>
  </si>
  <si>
    <t>numero pasarela 2</t>
  </si>
  <si>
    <t>Muro longitudinal</t>
  </si>
  <si>
    <t>Muros Transversales</t>
  </si>
  <si>
    <t>Losas</t>
  </si>
  <si>
    <t>Alto total</t>
  </si>
  <si>
    <t>Áncho total</t>
  </si>
  <si>
    <t>Alto Sacado</t>
  </si>
  <si>
    <t>Áncho sacado</t>
  </si>
  <si>
    <t>Volumen</t>
  </si>
  <si>
    <t>Longitud</t>
  </si>
  <si>
    <t>L3</t>
  </si>
  <si>
    <t>Áncho</t>
  </si>
  <si>
    <t>e3</t>
  </si>
  <si>
    <t>Volumen losas</t>
  </si>
  <si>
    <t>volumen muros</t>
  </si>
  <si>
    <t>e4</t>
  </si>
  <si>
    <t>L4</t>
  </si>
  <si>
    <t>Acero Terminaciones</t>
  </si>
  <si>
    <t>UF/kg</t>
  </si>
  <si>
    <t>Altura</t>
  </si>
  <si>
    <t>Perfiles de apoyo</t>
  </si>
  <si>
    <t>número</t>
  </si>
  <si>
    <t>Área</t>
  </si>
  <si>
    <t>Peso Total</t>
  </si>
  <si>
    <t>Baranda</t>
  </si>
  <si>
    <t>area perfil</t>
  </si>
  <si>
    <t>Nùmero de pasadas</t>
  </si>
  <si>
    <t>Longitud total</t>
  </si>
  <si>
    <t>Peso por lado</t>
  </si>
  <si>
    <t>apoyos</t>
  </si>
  <si>
    <t>Total ambas estructuras</t>
  </si>
  <si>
    <t>Peso 1 lado</t>
  </si>
  <si>
    <t>Vidrio</t>
  </si>
  <si>
    <t>Largo total</t>
  </si>
  <si>
    <t>area columnas apoyo</t>
  </si>
  <si>
    <t>Area vidrio 1 lado</t>
  </si>
  <si>
    <t>Area vidrio total</t>
  </si>
  <si>
    <t>Baldosas</t>
  </si>
  <si>
    <t>Área pasarela 1</t>
  </si>
  <si>
    <t>Área pasarela 2</t>
  </si>
  <si>
    <t>Área Total</t>
  </si>
  <si>
    <t>Pisos en nicho</t>
  </si>
  <si>
    <t>largo losa</t>
  </si>
  <si>
    <t>numero de niveles</t>
  </si>
  <si>
    <t>Àrea por lado</t>
  </si>
  <si>
    <t>Àrea total</t>
  </si>
  <si>
    <t>Mosaicos en muros nicho</t>
  </si>
  <si>
    <t>Alto ext</t>
  </si>
  <si>
    <t>Alto int</t>
  </si>
  <si>
    <t>Long ext</t>
  </si>
  <si>
    <t>long int</t>
  </si>
  <si>
    <t>Área por lado</t>
  </si>
  <si>
    <t>Área total</t>
  </si>
  <si>
    <t>Alto Transv</t>
  </si>
  <si>
    <t>largo trans</t>
  </si>
  <si>
    <t>Excavación en andén</t>
  </si>
  <si>
    <t>Se agrega un factor por la excavacion</t>
  </si>
  <si>
    <t>Factor</t>
  </si>
  <si>
    <t>Globales alternativa</t>
  </si>
  <si>
    <t>Uf/gl</t>
  </si>
  <si>
    <t>Uf/ml</t>
  </si>
  <si>
    <t>Uf/m2</t>
  </si>
  <si>
    <t>Uf/un</t>
  </si>
  <si>
    <t>Uf/m1</t>
  </si>
  <si>
    <t>Uf/m0</t>
  </si>
  <si>
    <t>Uf/m3</t>
  </si>
  <si>
    <t>Uf/kg</t>
  </si>
  <si>
    <t>Instalacion Pilotes</t>
  </si>
  <si>
    <t>Número</t>
  </si>
  <si>
    <t>Total ambos lados</t>
  </si>
  <si>
    <t>Paragua de 40/16 6m dividido en 6m de itemizado tramo 2</t>
  </si>
  <si>
    <t>6 luces y 15m de conducción</t>
  </si>
  <si>
    <t>2 luces y 5m de conducción</t>
  </si>
  <si>
    <t>Instalación paraguas</t>
  </si>
  <si>
    <t>Paraguas</t>
  </si>
  <si>
    <t>Ascensor Mesanina - Andén - Alternativa 1</t>
  </si>
  <si>
    <t>Ascensor Mesanina - Andén - Alternativa 2</t>
  </si>
  <si>
    <t>Valor Similar Ptes. Mesanina</t>
  </si>
  <si>
    <t>Se  entrega en m2, se pasa a metro lineal</t>
  </si>
  <si>
    <t>Valores de Arquitectura</t>
  </si>
  <si>
    <t>*</t>
  </si>
  <si>
    <t>Cubicaciones Mesaninas Andén - Alternativa 1</t>
  </si>
  <si>
    <t>Cubicaciones Mesaninas Andén Alternativa 2</t>
  </si>
  <si>
    <t>2.1</t>
  </si>
  <si>
    <t>3.1</t>
  </si>
  <si>
    <t>Aseo Final Entrega</t>
  </si>
  <si>
    <t>ASEO GENERAL</t>
  </si>
  <si>
    <t>1.1</t>
  </si>
  <si>
    <t>SUBTOTAL</t>
  </si>
  <si>
    <t>GASTOS GENERALES</t>
  </si>
  <si>
    <t>%</t>
  </si>
  <si>
    <t>UTILIDADES</t>
  </si>
  <si>
    <t>IVA</t>
  </si>
  <si>
    <t>IMPREVISTOS</t>
  </si>
  <si>
    <t>SUBTOTAL   COSTO  DIRECTO</t>
  </si>
  <si>
    <t>ITEM</t>
  </si>
  <si>
    <t>GLOSA</t>
  </si>
  <si>
    <t>UNIDAD</t>
  </si>
  <si>
    <t>CANTIDAD</t>
  </si>
  <si>
    <t xml:space="preserve">Instalación de faenas </t>
  </si>
  <si>
    <t xml:space="preserve">INSTALACIÓN DE FAENAS </t>
  </si>
  <si>
    <t>P.U. (UF)</t>
  </si>
  <si>
    <t>P.Total (UF)</t>
  </si>
  <si>
    <t>Barandas y Puertas</t>
  </si>
  <si>
    <t>2.2</t>
  </si>
  <si>
    <t>2.3</t>
  </si>
  <si>
    <t>Puerta para Discapacitados Bidireccional</t>
  </si>
  <si>
    <t>Barreras Fijas de Acero Inoxidable con Cristal Templado (Incluye errajes y anclajes)</t>
  </si>
  <si>
    <t>Puertas Dobles de Acero Inoxidable con Cristal Templado (Incluye errajes y anclajes)</t>
  </si>
  <si>
    <t>CONTROL FLUJOS MESANINA ESTACIÓN EL LLANO (E129-0100-PRE-LL-DC-001_0)</t>
  </si>
  <si>
    <t>LICITACIÓN PÚBLICA: CAMBIO LINEAS DE CONTROL DE ACCESO Y SALIDA MESANINA EN ESTACIONES DE METRO DE SANTIAGO</t>
  </si>
  <si>
    <t>FORMULARIO N° 10  OFERTA ECONOMICA (VALORES A SUMA ALZADA)</t>
  </si>
  <si>
    <t>NOMBRE DEL PROPONENTE</t>
  </si>
  <si>
    <t>FECHA</t>
  </si>
  <si>
    <t>FIRMA Y TIMBRE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</si>
</sst>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0.00000"/>
    <numFmt numFmtId="167" formatCode="#,##0.0"/>
    <numFmt numFmtId="168" formatCode="&quot;$&quot;\ #,##0.0"/>
    <numFmt numFmtId="169" formatCode="#,##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mbria"/>
      <family val="2"/>
      <scheme val="major"/>
    </font>
    <font>
      <sz val="8"/>
      <color theme="1"/>
      <name val="Cambria"/>
      <family val="2"/>
      <scheme val="major"/>
    </font>
    <font>
      <sz val="8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left"/>
    </xf>
    <xf numFmtId="0" fontId="0" fillId="2" borderId="0" xfId="0" applyFill="1" applyBorder="1"/>
    <xf numFmtId="0" fontId="0" fillId="2" borderId="2" xfId="0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1" fillId="0" borderId="2" xfId="0" applyFont="1" applyBorder="1"/>
    <xf numFmtId="0" fontId="0" fillId="0" borderId="1" xfId="0" applyBorder="1"/>
    <xf numFmtId="0" fontId="0" fillId="0" borderId="3" xfId="0" applyBorder="1"/>
    <xf numFmtId="0" fontId="0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3" borderId="0" xfId="0" applyFill="1"/>
    <xf numFmtId="0" fontId="0" fillId="0" borderId="1" xfId="0" applyFont="1" applyBorder="1" applyAlignment="1">
      <alignment horizontal="left"/>
    </xf>
    <xf numFmtId="0" fontId="0" fillId="0" borderId="0" xfId="0" applyFont="1" applyBorder="1"/>
    <xf numFmtId="0" fontId="0" fillId="0" borderId="1" xfId="0" applyFill="1" applyBorder="1" applyAlignment="1">
      <alignment horizontal="left"/>
    </xf>
    <xf numFmtId="0" fontId="1" fillId="0" borderId="0" xfId="0" applyFont="1" applyFill="1" applyBorder="1"/>
    <xf numFmtId="0" fontId="0" fillId="0" borderId="3" xfId="0" applyBorder="1" applyAlignment="1">
      <alignment horizontal="left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Font="1" applyFill="1" applyBorder="1" applyAlignment="1">
      <alignment horizontal="left"/>
    </xf>
    <xf numFmtId="0" fontId="0" fillId="0" borderId="2" xfId="0" applyFont="1" applyBorder="1"/>
    <xf numFmtId="0" fontId="0" fillId="2" borderId="9" xfId="0" applyFill="1" applyBorder="1" applyAlignment="1">
      <alignment horizontal="left"/>
    </xf>
    <xf numFmtId="0" fontId="0" fillId="2" borderId="10" xfId="0" applyFill="1" applyBorder="1"/>
    <xf numFmtId="0" fontId="0" fillId="2" borderId="11" xfId="0" applyFill="1" applyBorder="1"/>
    <xf numFmtId="164" fontId="0" fillId="0" borderId="2" xfId="0" applyNumberFormat="1" applyBorder="1"/>
    <xf numFmtId="1" fontId="0" fillId="0" borderId="2" xfId="0" applyNumberFormat="1" applyBorder="1"/>
    <xf numFmtId="0" fontId="0" fillId="0" borderId="10" xfId="0" applyFill="1" applyBorder="1"/>
    <xf numFmtId="0" fontId="0" fillId="0" borderId="0" xfId="0" applyFill="1"/>
    <xf numFmtId="0" fontId="0" fillId="0" borderId="2" xfId="0" applyFill="1" applyBorder="1"/>
    <xf numFmtId="0" fontId="1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ont="1" applyFill="1" applyBorder="1"/>
    <xf numFmtId="164" fontId="0" fillId="0" borderId="2" xfId="0" applyNumberFormat="1" applyFill="1" applyBorder="1"/>
    <xf numFmtId="1" fontId="0" fillId="0" borderId="2" xfId="0" applyNumberFormat="1" applyFill="1" applyBorder="1"/>
    <xf numFmtId="0" fontId="0" fillId="0" borderId="5" xfId="0" applyFill="1" applyBorder="1"/>
    <xf numFmtId="2" fontId="0" fillId="0" borderId="2" xfId="0" applyNumberFormat="1" applyBorder="1"/>
    <xf numFmtId="0" fontId="0" fillId="0" borderId="8" xfId="0" applyFill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4" borderId="0" xfId="0" applyFill="1"/>
    <xf numFmtId="2" fontId="0" fillId="0" borderId="5" xfId="0" applyNumberFormat="1" applyBorder="1"/>
    <xf numFmtId="0" fontId="1" fillId="0" borderId="1" xfId="0" applyFont="1" applyBorder="1"/>
    <xf numFmtId="0" fontId="3" fillId="0" borderId="1" xfId="0" applyFont="1" applyBorder="1"/>
    <xf numFmtId="0" fontId="0" fillId="0" borderId="11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9" xfId="0" applyFill="1" applyBorder="1"/>
    <xf numFmtId="1" fontId="0" fillId="0" borderId="0" xfId="0" applyNumberFormat="1"/>
    <xf numFmtId="0" fontId="0" fillId="0" borderId="3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/>
    <xf numFmtId="0" fontId="1" fillId="0" borderId="9" xfId="0" applyFont="1" applyBorder="1"/>
    <xf numFmtId="2" fontId="0" fillId="0" borderId="10" xfId="0" applyNumberForma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2" borderId="0" xfId="0" applyFont="1" applyFill="1" applyBorder="1"/>
    <xf numFmtId="166" fontId="0" fillId="0" borderId="0" xfId="0" applyNumberFormat="1" applyBorder="1"/>
    <xf numFmtId="2" fontId="0" fillId="0" borderId="4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2" fontId="0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/>
    <xf numFmtId="0" fontId="1" fillId="0" borderId="0" xfId="0" applyFont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167" fontId="0" fillId="0" borderId="5" xfId="0" applyNumberForma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167" fontId="1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67" fontId="0" fillId="0" borderId="1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7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168" fontId="0" fillId="0" borderId="0" xfId="0" applyNumberFormat="1" applyAlignment="1">
      <alignment vertical="center" wrapText="1"/>
    </xf>
    <xf numFmtId="0" fontId="7" fillId="0" borderId="0" xfId="0" applyFont="1"/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Fill="1"/>
    <xf numFmtId="169" fontId="7" fillId="0" borderId="0" xfId="0" applyNumberFormat="1" applyFont="1" applyFill="1"/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9" fontId="7" fillId="0" borderId="0" xfId="0" applyNumberFormat="1" applyFont="1" applyFill="1"/>
    <xf numFmtId="0" fontId="9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FF"/>
      <color rgb="FF4A2C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workbookViewId="0">
      <selection activeCell="C25" sqref="C25"/>
    </sheetView>
  </sheetViews>
  <sheetFormatPr baseColWidth="10" defaultRowHeight="15" x14ac:dyDescent="0.25"/>
  <cols>
    <col min="3" max="3" width="35.5703125" customWidth="1"/>
    <col min="7" max="7" width="36.140625" customWidth="1"/>
    <col min="8" max="8" width="12" bestFit="1" customWidth="1"/>
  </cols>
  <sheetData>
    <row r="2" spans="2:10" x14ac:dyDescent="0.25">
      <c r="C2" s="1" t="s">
        <v>382</v>
      </c>
    </row>
    <row r="3" spans="2:10" ht="15.75" thickBot="1" x14ac:dyDescent="0.3">
      <c r="G3" t="s">
        <v>82</v>
      </c>
    </row>
    <row r="4" spans="2:10" ht="15.75" thickBot="1" x14ac:dyDescent="0.3">
      <c r="B4" s="16" t="s">
        <v>3</v>
      </c>
      <c r="C4" s="17" t="s">
        <v>4</v>
      </c>
      <c r="D4" s="17" t="s">
        <v>5</v>
      </c>
      <c r="E4" s="18" t="s">
        <v>6</v>
      </c>
    </row>
    <row r="5" spans="2:10" x14ac:dyDescent="0.25">
      <c r="B5" s="34">
        <v>1</v>
      </c>
      <c r="C5" s="35" t="s">
        <v>0</v>
      </c>
      <c r="D5" s="35"/>
      <c r="E5" s="36"/>
      <c r="G5" t="s">
        <v>98</v>
      </c>
      <c r="H5">
        <v>7500</v>
      </c>
      <c r="I5" t="s">
        <v>99</v>
      </c>
    </row>
    <row r="6" spans="2:10" x14ac:dyDescent="0.25">
      <c r="B6" s="5">
        <v>1.1000000000000001</v>
      </c>
      <c r="C6" s="6" t="s">
        <v>51</v>
      </c>
      <c r="D6" s="7"/>
      <c r="E6" s="8"/>
      <c r="G6" t="s">
        <v>83</v>
      </c>
      <c r="H6" s="40">
        <v>12.45</v>
      </c>
      <c r="I6" t="s">
        <v>85</v>
      </c>
    </row>
    <row r="7" spans="2:10" x14ac:dyDescent="0.25">
      <c r="B7" s="9" t="s">
        <v>52</v>
      </c>
      <c r="C7" s="7" t="s">
        <v>54</v>
      </c>
      <c r="D7" s="19" t="s">
        <v>10</v>
      </c>
      <c r="E7" s="41">
        <v>2</v>
      </c>
      <c r="G7" t="s">
        <v>84</v>
      </c>
      <c r="H7" s="40">
        <v>9.0500000000000007</v>
      </c>
      <c r="I7" t="s">
        <v>85</v>
      </c>
    </row>
    <row r="8" spans="2:10" x14ac:dyDescent="0.25">
      <c r="B8" s="5">
        <v>1.2</v>
      </c>
      <c r="C8" s="6" t="s">
        <v>57</v>
      </c>
      <c r="D8" s="7"/>
      <c r="E8" s="8"/>
      <c r="G8" t="s">
        <v>86</v>
      </c>
      <c r="H8">
        <v>200</v>
      </c>
      <c r="I8" t="s">
        <v>88</v>
      </c>
    </row>
    <row r="9" spans="2:10" x14ac:dyDescent="0.25">
      <c r="B9" s="9" t="s">
        <v>53</v>
      </c>
      <c r="C9" s="22" t="s">
        <v>56</v>
      </c>
      <c r="D9" s="7" t="s">
        <v>10</v>
      </c>
      <c r="E9" s="41">
        <f>4*2</f>
        <v>8</v>
      </c>
      <c r="G9" t="s">
        <v>87</v>
      </c>
      <c r="H9">
        <v>222</v>
      </c>
      <c r="I9" t="s">
        <v>88</v>
      </c>
    </row>
    <row r="10" spans="2:10" x14ac:dyDescent="0.25">
      <c r="B10" s="2">
        <v>2</v>
      </c>
      <c r="C10" s="3" t="s">
        <v>1</v>
      </c>
      <c r="D10" s="3"/>
      <c r="E10" s="4"/>
      <c r="G10" t="s">
        <v>97</v>
      </c>
      <c r="H10">
        <f>0.25*0.15-(0.25-0.005)*(0.15-2*0.005)</f>
        <v>3.2000000000000015E-3</v>
      </c>
      <c r="I10" t="s">
        <v>33</v>
      </c>
    </row>
    <row r="11" spans="2:10" x14ac:dyDescent="0.25">
      <c r="B11" s="5">
        <v>2.1</v>
      </c>
      <c r="C11" s="6" t="s">
        <v>50</v>
      </c>
      <c r="D11" s="7"/>
      <c r="E11" s="8"/>
      <c r="G11" t="s">
        <v>109</v>
      </c>
      <c r="H11" s="20"/>
      <c r="I11" t="s">
        <v>88</v>
      </c>
    </row>
    <row r="12" spans="2:10" ht="15.75" thickBot="1" x14ac:dyDescent="0.3">
      <c r="B12" s="9" t="s">
        <v>14</v>
      </c>
      <c r="C12" s="7" t="s">
        <v>58</v>
      </c>
      <c r="D12" s="7" t="s">
        <v>33</v>
      </c>
      <c r="E12" s="38">
        <f>2*(H6*H8/100+H7*H9/100)</f>
        <v>89.981999999999999</v>
      </c>
      <c r="G12" t="s">
        <v>89</v>
      </c>
      <c r="H12" s="40">
        <v>600</v>
      </c>
      <c r="I12" t="s">
        <v>88</v>
      </c>
    </row>
    <row r="13" spans="2:10" x14ac:dyDescent="0.25">
      <c r="B13" s="9" t="s">
        <v>15</v>
      </c>
      <c r="C13" s="7" t="s">
        <v>228</v>
      </c>
      <c r="D13" s="7" t="s">
        <v>24</v>
      </c>
      <c r="E13" s="38">
        <f>2*H5*H10*(2*H6+2*H7+H8/100+H9/100+(H9-H8)/100)</f>
        <v>2277.1200000000008</v>
      </c>
      <c r="G13" s="29" t="s">
        <v>91</v>
      </c>
      <c r="H13" s="39">
        <v>5</v>
      </c>
      <c r="I13" s="30" t="s">
        <v>90</v>
      </c>
      <c r="J13" s="31" t="s">
        <v>102</v>
      </c>
    </row>
    <row r="14" spans="2:10" x14ac:dyDescent="0.25">
      <c r="B14" s="9" t="s">
        <v>61</v>
      </c>
      <c r="C14" s="19" t="s">
        <v>229</v>
      </c>
      <c r="D14" s="19" t="s">
        <v>24</v>
      </c>
      <c r="E14" s="38">
        <f>0.81*H5*(4*H15*H13+2*H14*H15)</f>
        <v>1008.6929999999996</v>
      </c>
      <c r="G14" s="11" t="s">
        <v>92</v>
      </c>
      <c r="H14" s="19">
        <v>4</v>
      </c>
      <c r="I14" s="7" t="s">
        <v>90</v>
      </c>
      <c r="J14" s="8" t="s">
        <v>102</v>
      </c>
    </row>
    <row r="15" spans="2:10" x14ac:dyDescent="0.25">
      <c r="B15" s="9" t="s">
        <v>62</v>
      </c>
      <c r="C15" s="19" t="s">
        <v>195</v>
      </c>
      <c r="D15" s="19" t="s">
        <v>24</v>
      </c>
      <c r="E15" s="38">
        <f>2*H19*H17*H18*H5</f>
        <v>469.94204859106702</v>
      </c>
      <c r="G15" s="11" t="s">
        <v>100</v>
      </c>
      <c r="H15" s="7">
        <f>(0.25*0.2-(0.2-0.005)*(0.25-2*0.012))</f>
        <v>5.9299999999999978E-3</v>
      </c>
      <c r="I15" s="7" t="s">
        <v>33</v>
      </c>
      <c r="J15" s="8"/>
    </row>
    <row r="16" spans="2:10" x14ac:dyDescent="0.25">
      <c r="B16" s="9" t="s">
        <v>63</v>
      </c>
      <c r="C16" s="19" t="s">
        <v>59</v>
      </c>
      <c r="D16" s="19" t="s">
        <v>10</v>
      </c>
      <c r="E16" s="37">
        <f>E12*0.095</f>
        <v>8.5482899999999997</v>
      </c>
      <c r="G16" s="11" t="s">
        <v>93</v>
      </c>
      <c r="H16" s="7">
        <v>20</v>
      </c>
      <c r="I16" s="7" t="s">
        <v>88</v>
      </c>
      <c r="J16" s="8"/>
    </row>
    <row r="17" spans="2:10" x14ac:dyDescent="0.25">
      <c r="B17" s="23" t="s">
        <v>127</v>
      </c>
      <c r="C17" s="19" t="s">
        <v>232</v>
      </c>
      <c r="D17" s="19" t="s">
        <v>33</v>
      </c>
      <c r="E17" s="46">
        <f>E12</f>
        <v>89.981999999999999</v>
      </c>
      <c r="G17" s="11" t="s">
        <v>94</v>
      </c>
      <c r="H17" s="19">
        <f>2*H13+H14</f>
        <v>14</v>
      </c>
      <c r="I17" s="7" t="s">
        <v>90</v>
      </c>
      <c r="J17" s="8" t="s">
        <v>101</v>
      </c>
    </row>
    <row r="18" spans="2:10" x14ac:dyDescent="0.25">
      <c r="B18" s="5">
        <v>2.2000000000000002</v>
      </c>
      <c r="C18" s="6" t="s">
        <v>60</v>
      </c>
      <c r="D18" s="7"/>
      <c r="E18" s="37"/>
      <c r="G18" s="11" t="s">
        <v>95</v>
      </c>
      <c r="H18" s="19">
        <v>3.18</v>
      </c>
      <c r="I18" s="7" t="s">
        <v>85</v>
      </c>
      <c r="J18" s="8"/>
    </row>
    <row r="19" spans="2:10" ht="15.75" thickBot="1" x14ac:dyDescent="0.3">
      <c r="B19" s="23" t="s">
        <v>18</v>
      </c>
      <c r="C19" s="19" t="s">
        <v>59</v>
      </c>
      <c r="D19" s="19" t="s">
        <v>10</v>
      </c>
      <c r="E19" s="37">
        <f>2*((H23+2*H21)/100+(H22+2*H21)/100-(H22/100)*(H23/100))*H20/100</f>
        <v>2.8500000000000005</v>
      </c>
      <c r="G19" s="12" t="s">
        <v>96</v>
      </c>
      <c r="H19" s="14">
        <f>PI()*0.03*0.03-PI()*0.026*0.026</f>
        <v>7.0371675440411346E-4</v>
      </c>
      <c r="I19" s="14" t="s">
        <v>33</v>
      </c>
      <c r="J19" s="15"/>
    </row>
    <row r="20" spans="2:10" x14ac:dyDescent="0.25">
      <c r="B20" s="23" t="s">
        <v>19</v>
      </c>
      <c r="C20" s="19" t="s">
        <v>13</v>
      </c>
      <c r="D20" s="19" t="s">
        <v>24</v>
      </c>
      <c r="E20" s="38">
        <f>H34*E19</f>
        <v>313.50000000000006</v>
      </c>
      <c r="G20" s="19" t="s">
        <v>103</v>
      </c>
      <c r="H20" s="19">
        <v>150</v>
      </c>
      <c r="I20" s="19" t="s">
        <v>88</v>
      </c>
      <c r="J20" s="7"/>
    </row>
    <row r="21" spans="2:10" x14ac:dyDescent="0.25">
      <c r="B21" s="5">
        <v>2.2999999999999998</v>
      </c>
      <c r="C21" s="24" t="s">
        <v>64</v>
      </c>
      <c r="D21" s="7"/>
      <c r="E21" s="8"/>
      <c r="G21" s="19" t="s">
        <v>104</v>
      </c>
      <c r="H21" s="7">
        <v>20</v>
      </c>
      <c r="I21" s="19" t="s">
        <v>88</v>
      </c>
      <c r="J21" s="7"/>
    </row>
    <row r="22" spans="2:10" x14ac:dyDescent="0.25">
      <c r="B22" s="23" t="s">
        <v>21</v>
      </c>
      <c r="C22" s="19" t="s">
        <v>65</v>
      </c>
      <c r="D22" s="7" t="s">
        <v>24</v>
      </c>
      <c r="E22" s="8">
        <f>2*(4*H12/100*H24+H25*H24*(H22/100+2*H23/100))*H5</f>
        <v>1396.8000000000002</v>
      </c>
      <c r="G22" s="19" t="s">
        <v>105</v>
      </c>
      <c r="H22" s="7">
        <v>200</v>
      </c>
      <c r="I22" s="7" t="s">
        <v>88</v>
      </c>
      <c r="J22" s="7"/>
    </row>
    <row r="23" spans="2:10" x14ac:dyDescent="0.25">
      <c r="B23" s="2">
        <v>3</v>
      </c>
      <c r="C23" s="3" t="s">
        <v>2</v>
      </c>
      <c r="D23" s="3"/>
      <c r="E23" s="4"/>
      <c r="G23" s="19" t="s">
        <v>106</v>
      </c>
      <c r="H23" s="7">
        <v>185</v>
      </c>
      <c r="I23" s="7" t="s">
        <v>88</v>
      </c>
      <c r="J23" s="7"/>
    </row>
    <row r="24" spans="2:10" x14ac:dyDescent="0.25">
      <c r="B24" s="5">
        <v>3.1</v>
      </c>
      <c r="C24" s="24" t="s">
        <v>66</v>
      </c>
      <c r="D24" s="6"/>
      <c r="E24" s="10"/>
      <c r="G24" s="19" t="s">
        <v>107</v>
      </c>
      <c r="H24">
        <f>0.1*4*0.004</f>
        <v>1.6000000000000001E-3</v>
      </c>
      <c r="I24" s="19" t="s">
        <v>33</v>
      </c>
    </row>
    <row r="25" spans="2:10" x14ac:dyDescent="0.25">
      <c r="B25" s="9" t="s">
        <v>28</v>
      </c>
      <c r="C25" s="19" t="s">
        <v>67</v>
      </c>
      <c r="D25" s="7" t="s">
        <v>24</v>
      </c>
      <c r="E25" s="38">
        <f>2*H5*H27*H26*0.915</f>
        <v>343.45439999999996</v>
      </c>
      <c r="G25" s="19" t="s">
        <v>108</v>
      </c>
      <c r="H25" s="40">
        <v>6</v>
      </c>
      <c r="I25" s="19" t="s">
        <v>90</v>
      </c>
    </row>
    <row r="26" spans="2:10" x14ac:dyDescent="0.25">
      <c r="B26" s="21" t="s">
        <v>27</v>
      </c>
      <c r="C26" s="22" t="s">
        <v>68</v>
      </c>
      <c r="D26" s="22" t="s">
        <v>24</v>
      </c>
      <c r="E26" s="38">
        <f>2*4*(H6+H7)*H19*H5</f>
        <v>907.79461318130632</v>
      </c>
      <c r="G26" s="19" t="s">
        <v>110</v>
      </c>
      <c r="H26" s="19">
        <v>34</v>
      </c>
      <c r="I26" s="19" t="s">
        <v>90</v>
      </c>
    </row>
    <row r="27" spans="2:10" x14ac:dyDescent="0.25">
      <c r="B27" s="9" t="s">
        <v>70</v>
      </c>
      <c r="C27" s="19" t="s">
        <v>69</v>
      </c>
      <c r="D27" s="26" t="s">
        <v>24</v>
      </c>
      <c r="E27" s="38">
        <f>4*H29*H28*H26*H5</f>
        <v>16.022122533307947</v>
      </c>
      <c r="G27" s="19" t="s">
        <v>111</v>
      </c>
      <c r="H27">
        <f>0.06*0.04-(0.06-2*0.004)*(0.04-2*0.004)</f>
        <v>7.3599999999999989E-4</v>
      </c>
      <c r="I27" s="19" t="s">
        <v>33</v>
      </c>
    </row>
    <row r="28" spans="2:10" x14ac:dyDescent="0.25">
      <c r="B28" s="23" t="s">
        <v>71</v>
      </c>
      <c r="C28" s="19" t="s">
        <v>72</v>
      </c>
      <c r="D28" s="26" t="s">
        <v>33</v>
      </c>
      <c r="E28" s="8">
        <f>H30*H31</f>
        <v>86.233000000000004</v>
      </c>
      <c r="G28" s="19" t="s">
        <v>112</v>
      </c>
      <c r="H28">
        <f>PI()*0.005*0.005</f>
        <v>7.8539816339744841E-5</v>
      </c>
      <c r="I28" s="19" t="s">
        <v>33</v>
      </c>
    </row>
    <row r="29" spans="2:10" x14ac:dyDescent="0.25">
      <c r="B29" s="5">
        <v>3.2</v>
      </c>
      <c r="C29" s="6" t="s">
        <v>73</v>
      </c>
      <c r="D29" s="7"/>
      <c r="E29" s="8"/>
      <c r="G29" s="19" t="s">
        <v>113</v>
      </c>
      <c r="H29">
        <f>0.2</f>
        <v>0.2</v>
      </c>
      <c r="I29" s="19" t="s">
        <v>32</v>
      </c>
    </row>
    <row r="30" spans="2:10" x14ac:dyDescent="0.25">
      <c r="B30" s="23" t="s">
        <v>39</v>
      </c>
      <c r="C30" s="19" t="s">
        <v>74</v>
      </c>
      <c r="D30" s="19" t="s">
        <v>33</v>
      </c>
      <c r="E30" s="8">
        <f>2*(H6*H8/100+H7*H9/100)</f>
        <v>89.981999999999999</v>
      </c>
      <c r="G30" s="19" t="s">
        <v>114</v>
      </c>
      <c r="H30">
        <f>2*(H6*2+H7)</f>
        <v>67.900000000000006</v>
      </c>
      <c r="I30" s="19" t="s">
        <v>32</v>
      </c>
    </row>
    <row r="31" spans="2:10" x14ac:dyDescent="0.25">
      <c r="B31" s="5">
        <v>3.3</v>
      </c>
      <c r="C31" s="27" t="s">
        <v>75</v>
      </c>
      <c r="D31" s="28"/>
      <c r="E31" s="8"/>
      <c r="G31" s="19" t="s">
        <v>115</v>
      </c>
      <c r="H31">
        <v>1.27</v>
      </c>
      <c r="I31" s="19" t="s">
        <v>32</v>
      </c>
    </row>
    <row r="32" spans="2:10" x14ac:dyDescent="0.25">
      <c r="B32" s="9" t="s">
        <v>44</v>
      </c>
      <c r="C32" s="7" t="s">
        <v>37</v>
      </c>
      <c r="D32" s="7" t="s">
        <v>33</v>
      </c>
      <c r="E32" s="8">
        <f>4*(2.5*H23/100-0.9*2)</f>
        <v>11.3</v>
      </c>
    </row>
    <row r="33" spans="2:9" x14ac:dyDescent="0.25">
      <c r="B33" s="32" t="s">
        <v>77</v>
      </c>
      <c r="C33" s="26" t="s">
        <v>76</v>
      </c>
      <c r="D33" s="26" t="s">
        <v>33</v>
      </c>
      <c r="E33" s="33">
        <f>(2*H23+H22)/100*(H12/100)-2*(2.5*H23/100)</f>
        <v>24.950000000000003</v>
      </c>
    </row>
    <row r="34" spans="2:9" x14ac:dyDescent="0.25">
      <c r="B34" s="5">
        <v>3.4</v>
      </c>
      <c r="C34" s="6" t="s">
        <v>45</v>
      </c>
      <c r="D34" s="7"/>
      <c r="E34" s="8"/>
      <c r="G34" s="52" t="s">
        <v>209</v>
      </c>
      <c r="H34" s="52">
        <v>110</v>
      </c>
      <c r="I34" s="52" t="s">
        <v>99</v>
      </c>
    </row>
    <row r="35" spans="2:9" x14ac:dyDescent="0.25">
      <c r="B35" s="9" t="s">
        <v>47</v>
      </c>
      <c r="C35" s="7" t="s">
        <v>78</v>
      </c>
      <c r="D35" s="7" t="s">
        <v>9</v>
      </c>
      <c r="E35" s="8">
        <v>1</v>
      </c>
    </row>
    <row r="36" spans="2:9" x14ac:dyDescent="0.25">
      <c r="B36" s="9" t="s">
        <v>48</v>
      </c>
      <c r="C36" s="7" t="s">
        <v>79</v>
      </c>
      <c r="D36" s="7" t="s">
        <v>32</v>
      </c>
      <c r="E36" s="8">
        <f>E37+20*1</f>
        <v>80</v>
      </c>
    </row>
    <row r="37" spans="2:9" ht="15.75" thickBot="1" x14ac:dyDescent="0.3">
      <c r="B37" s="25" t="s">
        <v>80</v>
      </c>
      <c r="C37" s="14" t="s">
        <v>81</v>
      </c>
      <c r="D37" s="14" t="s">
        <v>32</v>
      </c>
      <c r="E37" s="15">
        <f>60</f>
        <v>60</v>
      </c>
      <c r="H37" s="61">
        <f>E13+E15+E14</f>
        <v>3755.7550485910674</v>
      </c>
      <c r="I37">
        <f>H37/2</f>
        <v>1877.8775242955337</v>
      </c>
    </row>
    <row r="39" spans="2:9" x14ac:dyDescent="0.25">
      <c r="D39" s="19"/>
      <c r="E39" s="40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55"/>
  <sheetViews>
    <sheetView workbookViewId="0">
      <selection activeCell="F25" sqref="F25"/>
    </sheetView>
  </sheetViews>
  <sheetFormatPr baseColWidth="10" defaultRowHeight="15" x14ac:dyDescent="0.25"/>
  <cols>
    <col min="2" max="2" width="8.7109375" customWidth="1"/>
    <col min="3" max="3" width="45" customWidth="1"/>
    <col min="4" max="4" width="7.5703125" customWidth="1"/>
    <col min="7" max="7" width="16.5703125" customWidth="1"/>
    <col min="11" max="11" width="18.42578125" customWidth="1"/>
    <col min="12" max="12" width="19.7109375" customWidth="1"/>
    <col min="13" max="14" width="13" customWidth="1"/>
    <col min="15" max="15" width="20.42578125" customWidth="1"/>
  </cols>
  <sheetData>
    <row r="4" spans="2:17" x14ac:dyDescent="0.25">
      <c r="C4" s="1" t="s">
        <v>383</v>
      </c>
    </row>
    <row r="5" spans="2:17" ht="15.75" thickBot="1" x14ac:dyDescent="0.3"/>
    <row r="6" spans="2:17" ht="15.75" thickBot="1" x14ac:dyDescent="0.3">
      <c r="B6" s="29" t="s">
        <v>3</v>
      </c>
      <c r="C6" s="30" t="s">
        <v>4</v>
      </c>
      <c r="D6" s="30" t="s">
        <v>5</v>
      </c>
      <c r="E6" s="31" t="s">
        <v>6</v>
      </c>
    </row>
    <row r="7" spans="2:17" x14ac:dyDescent="0.25">
      <c r="B7" s="34">
        <v>1</v>
      </c>
      <c r="C7" s="35" t="s">
        <v>0</v>
      </c>
      <c r="D7" s="35"/>
      <c r="E7" s="36"/>
    </row>
    <row r="8" spans="2:17" ht="15.75" thickBot="1" x14ac:dyDescent="0.3">
      <c r="B8" s="42">
        <v>1.1000000000000001</v>
      </c>
      <c r="C8" s="24" t="s">
        <v>254</v>
      </c>
      <c r="D8" s="19"/>
      <c r="E8" s="41"/>
    </row>
    <row r="9" spans="2:17" x14ac:dyDescent="0.25">
      <c r="B9" s="23" t="s">
        <v>52</v>
      </c>
      <c r="C9" s="19" t="s">
        <v>253</v>
      </c>
      <c r="D9" s="19" t="s">
        <v>10</v>
      </c>
      <c r="E9" s="45">
        <f>2*(0.86*(3.09+0.2+2.49+0.25))</f>
        <v>10.371600000000001</v>
      </c>
      <c r="G9" s="29" t="s">
        <v>375</v>
      </c>
      <c r="H9" s="30"/>
      <c r="I9" s="31"/>
    </row>
    <row r="10" spans="2:17" x14ac:dyDescent="0.25">
      <c r="B10" s="5">
        <v>1.2</v>
      </c>
      <c r="C10" s="24" t="s">
        <v>258</v>
      </c>
      <c r="D10" s="7"/>
      <c r="E10" s="8"/>
      <c r="G10" s="11" t="s">
        <v>310</v>
      </c>
      <c r="H10" s="7">
        <f>6</f>
        <v>6</v>
      </c>
      <c r="I10" s="8" t="s">
        <v>32</v>
      </c>
    </row>
    <row r="11" spans="2:17" x14ac:dyDescent="0.25">
      <c r="B11" s="9" t="s">
        <v>53</v>
      </c>
      <c r="C11" s="7" t="s">
        <v>253</v>
      </c>
      <c r="D11" s="7" t="s">
        <v>10</v>
      </c>
      <c r="E11" s="37">
        <f>2*1</f>
        <v>2</v>
      </c>
      <c r="G11" s="11" t="s">
        <v>369</v>
      </c>
      <c r="H11" s="7">
        <v>7</v>
      </c>
      <c r="I11" s="8" t="s">
        <v>90</v>
      </c>
    </row>
    <row r="12" spans="2:17" ht="15.75" thickBot="1" x14ac:dyDescent="0.3">
      <c r="B12" s="5">
        <v>1.3</v>
      </c>
      <c r="C12" s="24" t="s">
        <v>255</v>
      </c>
      <c r="D12" s="7"/>
      <c r="E12" s="8"/>
      <c r="G12" s="12" t="s">
        <v>370</v>
      </c>
      <c r="H12" s="14">
        <f>2*H11*H10</f>
        <v>84</v>
      </c>
      <c r="I12" s="15" t="s">
        <v>32</v>
      </c>
    </row>
    <row r="13" spans="2:17" ht="15.75" thickBot="1" x14ac:dyDescent="0.3">
      <c r="B13" s="9" t="s">
        <v>55</v>
      </c>
      <c r="C13" s="7" t="s">
        <v>259</v>
      </c>
      <c r="D13" s="7" t="s">
        <v>10</v>
      </c>
      <c r="E13" s="37">
        <f>2*((3.09+0.2+2.49+0.25)*0.4*1.75)</f>
        <v>8.4420000000000019</v>
      </c>
    </row>
    <row r="14" spans="2:17" x14ac:dyDescent="0.25">
      <c r="B14" s="5">
        <v>1.4</v>
      </c>
      <c r="C14" s="24" t="s">
        <v>256</v>
      </c>
      <c r="D14" s="7"/>
      <c r="E14" s="8"/>
      <c r="G14" s="29" t="s">
        <v>284</v>
      </c>
      <c r="H14" s="30"/>
      <c r="I14" s="31" t="s">
        <v>283</v>
      </c>
      <c r="L14" s="29" t="s">
        <v>302</v>
      </c>
      <c r="M14" s="30"/>
      <c r="N14" s="30"/>
      <c r="O14" s="29" t="s">
        <v>304</v>
      </c>
      <c r="P14" s="30"/>
      <c r="Q14" s="31"/>
    </row>
    <row r="15" spans="2:17" x14ac:dyDescent="0.25">
      <c r="B15" s="9" t="s">
        <v>270</v>
      </c>
      <c r="C15" s="7" t="s">
        <v>260</v>
      </c>
      <c r="D15" s="7" t="s">
        <v>10</v>
      </c>
      <c r="E15" s="48">
        <f>2*G15*I18</f>
        <v>70.42432500000001</v>
      </c>
      <c r="G15" s="11">
        <v>0.5</v>
      </c>
      <c r="H15" s="7"/>
      <c r="I15" s="8">
        <f>1.75+0.4</f>
        <v>2.15</v>
      </c>
      <c r="L15" s="11" t="s">
        <v>305</v>
      </c>
      <c r="M15" s="7">
        <f>0.25+1.3+3.09+0.2+2.49+0.25</f>
        <v>7.58</v>
      </c>
      <c r="N15" s="7" t="s">
        <v>85</v>
      </c>
      <c r="O15" s="11" t="s">
        <v>312</v>
      </c>
      <c r="P15" s="7">
        <v>1.75</v>
      </c>
      <c r="Q15" s="41" t="s">
        <v>85</v>
      </c>
    </row>
    <row r="16" spans="2:17" x14ac:dyDescent="0.25">
      <c r="B16" s="9" t="s">
        <v>271</v>
      </c>
      <c r="C16" s="7" t="s">
        <v>261</v>
      </c>
      <c r="D16" s="19" t="s">
        <v>10</v>
      </c>
      <c r="E16" s="48">
        <f>2*G16*I18</f>
        <v>70.42432500000001</v>
      </c>
      <c r="G16" s="11">
        <v>0.5</v>
      </c>
      <c r="H16" s="7"/>
      <c r="I16" s="8">
        <f>(3.09+0.2+2.49+0.25+1.5)</f>
        <v>7.53</v>
      </c>
      <c r="L16" s="11" t="s">
        <v>306</v>
      </c>
      <c r="M16" s="7">
        <f>2+1.95+0.4</f>
        <v>4.3500000000000005</v>
      </c>
      <c r="N16" s="7" t="s">
        <v>85</v>
      </c>
      <c r="O16" s="11" t="s">
        <v>86</v>
      </c>
      <c r="P16" s="7">
        <v>0.25</v>
      </c>
      <c r="Q16" s="41" t="s">
        <v>85</v>
      </c>
    </row>
    <row r="17" spans="2:17" x14ac:dyDescent="0.25">
      <c r="B17" s="9" t="s">
        <v>272</v>
      </c>
      <c r="C17" s="7" t="s">
        <v>374</v>
      </c>
      <c r="D17" s="19" t="s">
        <v>32</v>
      </c>
      <c r="E17" s="48">
        <f>H12</f>
        <v>84</v>
      </c>
      <c r="G17" s="11">
        <v>0</v>
      </c>
      <c r="H17" s="7"/>
      <c r="I17" s="8">
        <f>2+1.95+0.4</f>
        <v>4.3500000000000005</v>
      </c>
      <c r="L17" s="11" t="s">
        <v>307</v>
      </c>
      <c r="M17" s="7">
        <v>1.3</v>
      </c>
      <c r="N17" s="7" t="s">
        <v>85</v>
      </c>
      <c r="O17" s="11" t="s">
        <v>87</v>
      </c>
      <c r="P17" s="7">
        <v>0.25</v>
      </c>
      <c r="Q17" s="41" t="s">
        <v>85</v>
      </c>
    </row>
    <row r="18" spans="2:17" ht="15.75" thickBot="1" x14ac:dyDescent="0.3">
      <c r="B18" s="2">
        <v>2</v>
      </c>
      <c r="C18" s="3" t="s">
        <v>1</v>
      </c>
      <c r="D18" s="3"/>
      <c r="E18" s="4"/>
      <c r="G18" s="12"/>
      <c r="H18" s="14"/>
      <c r="I18" s="53">
        <f>I15*I16*I17</f>
        <v>70.42432500000001</v>
      </c>
      <c r="L18" s="11" t="s">
        <v>308</v>
      </c>
      <c r="M18" s="7">
        <f>2-0.25</f>
        <v>1.75</v>
      </c>
      <c r="N18" s="7" t="s">
        <v>85</v>
      </c>
      <c r="O18" s="11" t="s">
        <v>313</v>
      </c>
      <c r="P18" s="19">
        <v>0.2</v>
      </c>
      <c r="Q18" s="41" t="s">
        <v>85</v>
      </c>
    </row>
    <row r="19" spans="2:17" x14ac:dyDescent="0.25">
      <c r="B19" s="5">
        <v>2.1</v>
      </c>
      <c r="C19" s="6" t="s">
        <v>257</v>
      </c>
      <c r="D19" s="6"/>
      <c r="E19" s="10"/>
      <c r="G19" s="29" t="s">
        <v>291</v>
      </c>
      <c r="H19" s="30"/>
      <c r="I19" s="31"/>
      <c r="L19" s="11" t="s">
        <v>241</v>
      </c>
      <c r="M19" s="7">
        <v>0.4</v>
      </c>
      <c r="N19" s="7" t="s">
        <v>85</v>
      </c>
      <c r="O19" s="43" t="s">
        <v>316</v>
      </c>
      <c r="P19" s="19">
        <v>0.25</v>
      </c>
      <c r="Q19" s="41" t="s">
        <v>85</v>
      </c>
    </row>
    <row r="20" spans="2:17" ht="15.75" thickBot="1" x14ac:dyDescent="0.3">
      <c r="B20" s="23" t="s">
        <v>14</v>
      </c>
      <c r="C20" s="7" t="s">
        <v>268</v>
      </c>
      <c r="D20" s="19" t="s">
        <v>10</v>
      </c>
      <c r="E20" s="48">
        <f>P26</f>
        <v>37.734150000000007</v>
      </c>
      <c r="G20" s="11" t="s">
        <v>83</v>
      </c>
      <c r="H20" s="7">
        <v>13.12</v>
      </c>
      <c r="I20" s="8" t="s">
        <v>85</v>
      </c>
      <c r="L20" s="12" t="s">
        <v>309</v>
      </c>
      <c r="M20" s="14">
        <f>M19*(M15*M16-M17*M18)</f>
        <v>12.279200000000003</v>
      </c>
      <c r="N20" s="14" t="s">
        <v>10</v>
      </c>
      <c r="O20" s="11" t="s">
        <v>83</v>
      </c>
      <c r="P20" s="19">
        <v>1.95</v>
      </c>
      <c r="Q20" s="41" t="s">
        <v>85</v>
      </c>
    </row>
    <row r="21" spans="2:17" x14ac:dyDescent="0.25">
      <c r="B21" s="23" t="s">
        <v>15</v>
      </c>
      <c r="C21" s="7" t="s">
        <v>269</v>
      </c>
      <c r="D21" s="22" t="s">
        <v>10</v>
      </c>
      <c r="E21" s="76">
        <f>P25</f>
        <v>8.09375</v>
      </c>
      <c r="G21" s="11" t="s">
        <v>86</v>
      </c>
      <c r="H21" s="7">
        <v>2</v>
      </c>
      <c r="I21" s="8" t="s">
        <v>85</v>
      </c>
      <c r="L21" s="29" t="s">
        <v>303</v>
      </c>
      <c r="M21" s="30"/>
      <c r="N21" s="30"/>
      <c r="O21" s="11" t="s">
        <v>84</v>
      </c>
      <c r="P21" s="7">
        <f>2-0.25</f>
        <v>1.75</v>
      </c>
      <c r="Q21" s="41" t="s">
        <v>85</v>
      </c>
    </row>
    <row r="22" spans="2:17" x14ac:dyDescent="0.25">
      <c r="B22" s="23" t="s">
        <v>61</v>
      </c>
      <c r="C22" s="7" t="s">
        <v>13</v>
      </c>
      <c r="D22" s="7" t="s">
        <v>24</v>
      </c>
      <c r="E22" s="48">
        <f>H35*(E20+E21)</f>
        <v>5041.0690000000004</v>
      </c>
      <c r="G22" s="11" t="s">
        <v>286</v>
      </c>
      <c r="H22" s="7">
        <f>H20*H21</f>
        <v>26.24</v>
      </c>
      <c r="I22" s="8" t="s">
        <v>33</v>
      </c>
      <c r="L22" s="11" t="s">
        <v>310</v>
      </c>
      <c r="M22" s="7">
        <v>1.75</v>
      </c>
      <c r="N22" s="7" t="s">
        <v>85</v>
      </c>
      <c r="O22" s="11" t="s">
        <v>311</v>
      </c>
      <c r="P22" s="19">
        <v>2</v>
      </c>
      <c r="Q22" s="41" t="s">
        <v>85</v>
      </c>
    </row>
    <row r="23" spans="2:17" x14ac:dyDescent="0.25">
      <c r="B23" s="5">
        <v>2.2000000000000002</v>
      </c>
      <c r="C23" s="6" t="s">
        <v>262</v>
      </c>
      <c r="D23" s="6"/>
      <c r="E23" s="10"/>
      <c r="G23" s="11" t="s">
        <v>84</v>
      </c>
      <c r="H23" s="7">
        <f>4.75-2</f>
        <v>2.75</v>
      </c>
      <c r="I23" s="8" t="s">
        <v>85</v>
      </c>
      <c r="L23" s="11" t="s">
        <v>86</v>
      </c>
      <c r="M23" s="7">
        <v>0.4</v>
      </c>
      <c r="N23" s="7" t="s">
        <v>85</v>
      </c>
      <c r="O23" s="43" t="s">
        <v>317</v>
      </c>
      <c r="P23" s="19">
        <f>2+1.95</f>
        <v>3.95</v>
      </c>
      <c r="Q23" s="41" t="s">
        <v>85</v>
      </c>
    </row>
    <row r="24" spans="2:17" ht="15.75" thickBot="1" x14ac:dyDescent="0.3">
      <c r="B24" s="23" t="s">
        <v>18</v>
      </c>
      <c r="C24" s="7" t="s">
        <v>58</v>
      </c>
      <c r="D24" s="19" t="s">
        <v>33</v>
      </c>
      <c r="E24" s="8">
        <f>2*H22</f>
        <v>52.48</v>
      </c>
      <c r="G24" s="11" t="s">
        <v>87</v>
      </c>
      <c r="H24" s="7">
        <f>2</f>
        <v>2</v>
      </c>
      <c r="I24" s="8" t="s">
        <v>85</v>
      </c>
      <c r="L24" s="11" t="s">
        <v>87</v>
      </c>
      <c r="M24" s="7">
        <v>0.25</v>
      </c>
      <c r="N24" s="7" t="s">
        <v>85</v>
      </c>
      <c r="O24" s="11" t="s">
        <v>309</v>
      </c>
      <c r="P24" s="64">
        <f>P20*P16*P15+P15*P17*P21+P15*P18*P22+P15*P19*P23</f>
        <v>4.046875</v>
      </c>
      <c r="Q24" s="41" t="s">
        <v>10</v>
      </c>
    </row>
    <row r="25" spans="2:17" x14ac:dyDescent="0.25">
      <c r="B25" s="23" t="s">
        <v>19</v>
      </c>
      <c r="C25" s="7" t="s">
        <v>228</v>
      </c>
      <c r="D25" s="19" t="s">
        <v>24</v>
      </c>
      <c r="E25" s="8">
        <f>I30</f>
        <v>1451.5200000000004</v>
      </c>
      <c r="G25" s="11" t="s">
        <v>287</v>
      </c>
      <c r="H25" s="7">
        <f>H23*H24</f>
        <v>5.5</v>
      </c>
      <c r="I25" s="8" t="s">
        <v>33</v>
      </c>
      <c r="L25" s="11" t="s">
        <v>83</v>
      </c>
      <c r="M25" s="7">
        <f>M15</f>
        <v>7.58</v>
      </c>
      <c r="N25" s="7" t="s">
        <v>85</v>
      </c>
      <c r="O25" s="29" t="s">
        <v>314</v>
      </c>
      <c r="P25" s="67">
        <f>2*P24</f>
        <v>8.09375</v>
      </c>
      <c r="Q25" s="56" t="s">
        <v>10</v>
      </c>
    </row>
    <row r="26" spans="2:17" ht="15.75" thickBot="1" x14ac:dyDescent="0.3">
      <c r="B26" s="23" t="s">
        <v>20</v>
      </c>
      <c r="C26" s="19" t="s">
        <v>229</v>
      </c>
      <c r="D26" s="19" t="s">
        <v>24</v>
      </c>
      <c r="E26" s="48">
        <f>L42</f>
        <v>936.64349999999968</v>
      </c>
      <c r="G26" s="12" t="s">
        <v>285</v>
      </c>
      <c r="H26" s="14">
        <f>H20*H21+H23*H24</f>
        <v>31.74</v>
      </c>
      <c r="I26" s="15" t="s">
        <v>33</v>
      </c>
      <c r="L26" s="11" t="s">
        <v>84</v>
      </c>
      <c r="M26" s="7">
        <f>1.3+0.25+0.39+0.99</f>
        <v>2.9299999999999997</v>
      </c>
      <c r="N26" s="7" t="s">
        <v>85</v>
      </c>
      <c r="O26" s="12" t="s">
        <v>315</v>
      </c>
      <c r="P26" s="73">
        <f>2*(M20+M27)</f>
        <v>37.734150000000007</v>
      </c>
      <c r="Q26" s="47" t="s">
        <v>10</v>
      </c>
    </row>
    <row r="27" spans="2:17" ht="15.75" thickBot="1" x14ac:dyDescent="0.3">
      <c r="B27" s="23" t="s">
        <v>277</v>
      </c>
      <c r="C27" s="19" t="s">
        <v>195</v>
      </c>
      <c r="D27" s="19" t="s">
        <v>24</v>
      </c>
      <c r="E27" s="48">
        <f>H42</f>
        <v>436.3747594059908</v>
      </c>
      <c r="L27" s="12" t="s">
        <v>309</v>
      </c>
      <c r="M27" s="73">
        <f>M25*M23*M22+M26*M24*M22</f>
        <v>6.5878750000000004</v>
      </c>
      <c r="N27" s="15" t="s">
        <v>10</v>
      </c>
    </row>
    <row r="28" spans="2:17" ht="15.75" thickBot="1" x14ac:dyDescent="0.3">
      <c r="B28" s="23" t="s">
        <v>278</v>
      </c>
      <c r="C28" s="19" t="s">
        <v>59</v>
      </c>
      <c r="D28" s="19" t="s">
        <v>10</v>
      </c>
      <c r="E28" s="48">
        <f>0.095*E24</f>
        <v>4.9855999999999998</v>
      </c>
      <c r="G28" s="29" t="s">
        <v>288</v>
      </c>
      <c r="H28" s="30" t="s">
        <v>83</v>
      </c>
      <c r="I28" s="30">
        <f>2*((2*H20+2*H21))</f>
        <v>60.48</v>
      </c>
      <c r="J28" s="31" t="s">
        <v>85</v>
      </c>
    </row>
    <row r="29" spans="2:17" x14ac:dyDescent="0.25">
      <c r="B29" s="23" t="s">
        <v>279</v>
      </c>
      <c r="C29" s="19" t="s">
        <v>232</v>
      </c>
      <c r="D29" s="19" t="s">
        <v>33</v>
      </c>
      <c r="E29" s="8">
        <f>E24</f>
        <v>52.48</v>
      </c>
      <c r="G29" s="11"/>
      <c r="H29" s="7" t="s">
        <v>289</v>
      </c>
      <c r="I29" s="7">
        <f>'01 Mesanina Andén Alt 1'!H10</f>
        <v>3.2000000000000015E-3</v>
      </c>
      <c r="J29" s="8" t="s">
        <v>33</v>
      </c>
      <c r="L29" s="29" t="s">
        <v>321</v>
      </c>
      <c r="M29" s="31"/>
      <c r="O29" s="29" t="s">
        <v>325</v>
      </c>
      <c r="P29" s="30"/>
      <c r="Q29" s="31"/>
    </row>
    <row r="30" spans="2:17" x14ac:dyDescent="0.25">
      <c r="B30" s="5">
        <v>2.2999999999999998</v>
      </c>
      <c r="C30" s="6" t="s">
        <v>263</v>
      </c>
      <c r="D30" s="7"/>
      <c r="E30" s="8"/>
      <c r="G30" s="11"/>
      <c r="H30" s="7" t="s">
        <v>290</v>
      </c>
      <c r="I30" s="7">
        <f>I29*I28*7500</f>
        <v>1451.5200000000004</v>
      </c>
      <c r="J30" s="8" t="s">
        <v>24</v>
      </c>
      <c r="L30" s="11" t="s">
        <v>322</v>
      </c>
      <c r="M30" s="8">
        <v>31</v>
      </c>
      <c r="O30" s="11" t="s">
        <v>326</v>
      </c>
      <c r="P30" s="72">
        <f>H39</f>
        <v>7.0371675440411346E-4</v>
      </c>
      <c r="Q30" s="8" t="s">
        <v>33</v>
      </c>
    </row>
    <row r="31" spans="2:17" x14ac:dyDescent="0.25">
      <c r="B31" s="9" t="s">
        <v>21</v>
      </c>
      <c r="C31" s="7" t="s">
        <v>58</v>
      </c>
      <c r="D31" s="19" t="s">
        <v>33</v>
      </c>
      <c r="E31" s="8">
        <f>2*H25</f>
        <v>11</v>
      </c>
      <c r="G31" s="11"/>
      <c r="H31" s="7" t="s">
        <v>84</v>
      </c>
      <c r="I31" s="7">
        <f>2*(2*H23+2*H24)</f>
        <v>19</v>
      </c>
      <c r="J31" s="8" t="s">
        <v>85</v>
      </c>
      <c r="L31" s="11" t="s">
        <v>323</v>
      </c>
      <c r="M31" s="8">
        <f>'01 Mesanina Andén Alt 1'!H27</f>
        <v>7.3599999999999989E-4</v>
      </c>
      <c r="O31" s="11" t="s">
        <v>327</v>
      </c>
      <c r="P31" s="7">
        <v>2</v>
      </c>
      <c r="Q31" s="8" t="s">
        <v>90</v>
      </c>
    </row>
    <row r="32" spans="2:17" x14ac:dyDescent="0.25">
      <c r="B32" s="9" t="s">
        <v>23</v>
      </c>
      <c r="C32" s="7" t="s">
        <v>228</v>
      </c>
      <c r="D32" s="19" t="s">
        <v>24</v>
      </c>
      <c r="E32" s="8">
        <f>I33</f>
        <v>456.00000000000023</v>
      </c>
      <c r="G32" s="11"/>
      <c r="H32" s="7" t="s">
        <v>289</v>
      </c>
      <c r="I32" s="7">
        <f>I29</f>
        <v>3.2000000000000015E-3</v>
      </c>
      <c r="J32" s="8" t="s">
        <v>33</v>
      </c>
      <c r="L32" s="11" t="s">
        <v>320</v>
      </c>
      <c r="M32" s="8">
        <v>0.91</v>
      </c>
      <c r="O32" s="11" t="s">
        <v>328</v>
      </c>
      <c r="P32" s="7">
        <f>13.12+2+13.12-2+4.75-2+2</f>
        <v>30.99</v>
      </c>
      <c r="Q32" s="8" t="s">
        <v>33</v>
      </c>
    </row>
    <row r="33" spans="2:17" ht="15.75" thickBot="1" x14ac:dyDescent="0.3">
      <c r="B33" s="9" t="s">
        <v>273</v>
      </c>
      <c r="C33" s="19" t="s">
        <v>229</v>
      </c>
      <c r="D33" s="19" t="s">
        <v>24</v>
      </c>
      <c r="E33" s="48">
        <f>L43</f>
        <v>144.09899999999993</v>
      </c>
      <c r="G33" s="12"/>
      <c r="H33" s="14" t="s">
        <v>290</v>
      </c>
      <c r="I33" s="14">
        <f>I31*I32*7500</f>
        <v>456.00000000000023</v>
      </c>
      <c r="J33" s="15" t="s">
        <v>24</v>
      </c>
      <c r="L33" s="12" t="s">
        <v>324</v>
      </c>
      <c r="M33" s="75">
        <f>2*M30*M31*M32*7500</f>
        <v>311.43839999999994</v>
      </c>
      <c r="O33" s="11" t="s">
        <v>329</v>
      </c>
      <c r="P33" s="64">
        <f>7500*P32*P31*P30</f>
        <v>327.12273328475214</v>
      </c>
      <c r="Q33" s="8" t="s">
        <v>24</v>
      </c>
    </row>
    <row r="34" spans="2:17" ht="15.75" thickBot="1" x14ac:dyDescent="0.3">
      <c r="B34" s="9" t="s">
        <v>274</v>
      </c>
      <c r="C34" s="19" t="s">
        <v>195</v>
      </c>
      <c r="D34" s="19" t="s">
        <v>24</v>
      </c>
      <c r="E34" s="48">
        <f>H43</f>
        <v>67.134578370152425</v>
      </c>
      <c r="O34" s="12" t="s">
        <v>163</v>
      </c>
      <c r="P34" s="73">
        <f>2*P33</f>
        <v>654.24546656950429</v>
      </c>
      <c r="Q34" s="15" t="s">
        <v>24</v>
      </c>
    </row>
    <row r="35" spans="2:17" ht="15.75" thickBot="1" x14ac:dyDescent="0.3">
      <c r="B35" s="9" t="s">
        <v>275</v>
      </c>
      <c r="C35" s="19" t="s">
        <v>59</v>
      </c>
      <c r="D35" s="19" t="s">
        <v>10</v>
      </c>
      <c r="E35" s="48">
        <f>0.095*E31</f>
        <v>1.0449999999999999</v>
      </c>
      <c r="G35" s="52" t="s">
        <v>209</v>
      </c>
      <c r="H35" s="52">
        <v>110</v>
      </c>
      <c r="I35" s="52" t="s">
        <v>99</v>
      </c>
    </row>
    <row r="36" spans="2:17" ht="15.75" thickBot="1" x14ac:dyDescent="0.3">
      <c r="B36" s="9" t="s">
        <v>276</v>
      </c>
      <c r="C36" s="19" t="s">
        <v>232</v>
      </c>
      <c r="D36" s="19" t="s">
        <v>33</v>
      </c>
      <c r="E36" s="8">
        <f>E31</f>
        <v>11</v>
      </c>
      <c r="O36" s="29" t="s">
        <v>330</v>
      </c>
      <c r="P36" s="30"/>
      <c r="Q36" s="31"/>
    </row>
    <row r="37" spans="2:17" x14ac:dyDescent="0.25">
      <c r="B37" s="2">
        <v>3</v>
      </c>
      <c r="C37" s="3" t="s">
        <v>264</v>
      </c>
      <c r="D37" s="3"/>
      <c r="E37" s="4"/>
      <c r="G37" s="29" t="s">
        <v>292</v>
      </c>
      <c r="H37" s="30"/>
      <c r="I37" s="31"/>
      <c r="K37" s="29" t="s">
        <v>297</v>
      </c>
      <c r="L37" s="30"/>
      <c r="M37" s="31"/>
      <c r="O37" s="43" t="s">
        <v>110</v>
      </c>
      <c r="P37" s="19">
        <f>2*M30</f>
        <v>62</v>
      </c>
      <c r="Q37" s="41" t="s">
        <v>90</v>
      </c>
    </row>
    <row r="38" spans="2:17" x14ac:dyDescent="0.25">
      <c r="B38" s="5">
        <v>3.1</v>
      </c>
      <c r="C38" s="6" t="s">
        <v>265</v>
      </c>
      <c r="D38" s="6"/>
      <c r="E38" s="10"/>
      <c r="G38" s="11" t="s">
        <v>95</v>
      </c>
      <c r="H38" s="19">
        <v>3.18</v>
      </c>
      <c r="I38" s="8" t="s">
        <v>85</v>
      </c>
      <c r="K38" s="11" t="s">
        <v>298</v>
      </c>
      <c r="L38" s="7">
        <f>'01 Mesanina Andén Alt 1'!H15</f>
        <v>5.9299999999999978E-3</v>
      </c>
      <c r="M38" s="8" t="s">
        <v>33</v>
      </c>
      <c r="O38" s="43" t="s">
        <v>112</v>
      </c>
      <c r="P38" s="7">
        <f>PI()*0.005*0.005</f>
        <v>7.8539816339744841E-5</v>
      </c>
      <c r="Q38" s="41" t="s">
        <v>33</v>
      </c>
    </row>
    <row r="39" spans="2:17" x14ac:dyDescent="0.25">
      <c r="B39" s="23" t="s">
        <v>28</v>
      </c>
      <c r="C39" s="19" t="s">
        <v>67</v>
      </c>
      <c r="D39" s="19" t="s">
        <v>24</v>
      </c>
      <c r="E39" s="37">
        <f>M33</f>
        <v>311.43839999999994</v>
      </c>
      <c r="G39" s="11" t="s">
        <v>96</v>
      </c>
      <c r="H39" s="72">
        <f>PI()*0.03*0.03-PI()*0.026*0.026</f>
        <v>7.0371675440411346E-4</v>
      </c>
      <c r="I39" s="8" t="s">
        <v>33</v>
      </c>
      <c r="K39" s="11" t="s">
        <v>299</v>
      </c>
      <c r="L39" s="7">
        <v>0.81</v>
      </c>
      <c r="M39" s="8" t="s">
        <v>85</v>
      </c>
      <c r="O39" s="43" t="s">
        <v>113</v>
      </c>
      <c r="P39" s="7">
        <f>0.2</f>
        <v>0.2</v>
      </c>
      <c r="Q39" s="41" t="s">
        <v>32</v>
      </c>
    </row>
    <row r="40" spans="2:17" x14ac:dyDescent="0.25">
      <c r="B40" s="23" t="s">
        <v>27</v>
      </c>
      <c r="C40" s="22" t="s">
        <v>68</v>
      </c>
      <c r="D40" s="7" t="s">
        <v>24</v>
      </c>
      <c r="E40" s="37">
        <f>P34</f>
        <v>654.24546656950429</v>
      </c>
      <c r="G40" s="43" t="s">
        <v>293</v>
      </c>
      <c r="H40" s="7">
        <f>7+6</f>
        <v>13</v>
      </c>
      <c r="I40" s="41" t="s">
        <v>90</v>
      </c>
      <c r="K40" s="11" t="s">
        <v>300</v>
      </c>
      <c r="L40" s="7">
        <f>H40</f>
        <v>13</v>
      </c>
      <c r="M40" s="8"/>
      <c r="O40" s="43" t="s">
        <v>332</v>
      </c>
      <c r="P40" s="7">
        <f>7500*P38*P39*P37</f>
        <v>7.3042029195962703</v>
      </c>
      <c r="Q40" s="41" t="s">
        <v>24</v>
      </c>
    </row>
    <row r="41" spans="2:17" ht="15.75" thickBot="1" x14ac:dyDescent="0.3">
      <c r="B41" s="23" t="s">
        <v>70</v>
      </c>
      <c r="C41" s="19" t="s">
        <v>69</v>
      </c>
      <c r="D41" s="7" t="s">
        <v>24</v>
      </c>
      <c r="E41" s="37">
        <f>P41</f>
        <v>14.608405839192541</v>
      </c>
      <c r="G41" s="43" t="s">
        <v>294</v>
      </c>
      <c r="H41" s="7">
        <v>2</v>
      </c>
      <c r="I41" s="8"/>
      <c r="K41" s="11" t="s">
        <v>301</v>
      </c>
      <c r="L41" s="7">
        <f>H41</f>
        <v>2</v>
      </c>
      <c r="M41" s="8"/>
      <c r="O41" s="57" t="s">
        <v>331</v>
      </c>
      <c r="P41" s="14">
        <f>P40*2</f>
        <v>14.608405839192541</v>
      </c>
      <c r="Q41" s="47" t="s">
        <v>24</v>
      </c>
    </row>
    <row r="42" spans="2:17" ht="15.75" thickBot="1" x14ac:dyDescent="0.3">
      <c r="B42" s="23" t="s">
        <v>71</v>
      </c>
      <c r="C42" s="19" t="s">
        <v>72</v>
      </c>
      <c r="D42" s="7" t="s">
        <v>33</v>
      </c>
      <c r="E42" s="37">
        <f>H50</f>
        <v>68.164199999999994</v>
      </c>
      <c r="G42" s="43" t="s">
        <v>295</v>
      </c>
      <c r="H42" s="64">
        <f>2*7500*H40*H39*H38</f>
        <v>436.3747594059908</v>
      </c>
      <c r="I42" s="8" t="s">
        <v>24</v>
      </c>
      <c r="K42" s="11" t="s">
        <v>295</v>
      </c>
      <c r="L42" s="64">
        <f>2*7500*(L40*L39*L38)</f>
        <v>936.64349999999968</v>
      </c>
      <c r="M42" s="8" t="s">
        <v>24</v>
      </c>
    </row>
    <row r="43" spans="2:17" ht="15.75" thickBot="1" x14ac:dyDescent="0.3">
      <c r="B43" s="23" t="s">
        <v>280</v>
      </c>
      <c r="C43" s="19" t="s">
        <v>74</v>
      </c>
      <c r="D43" s="7" t="s">
        <v>33</v>
      </c>
      <c r="E43" s="8">
        <f>L48</f>
        <v>63.48</v>
      </c>
      <c r="G43" s="57" t="s">
        <v>296</v>
      </c>
      <c r="H43" s="73">
        <f>2*7500*H41*H39*H38</f>
        <v>67.134578370152425</v>
      </c>
      <c r="I43" s="15" t="s">
        <v>24</v>
      </c>
      <c r="K43" s="12" t="s">
        <v>296</v>
      </c>
      <c r="L43" s="73">
        <f>2*7500*(L41*L39*L38)</f>
        <v>144.09899999999993</v>
      </c>
      <c r="M43" s="15" t="s">
        <v>24</v>
      </c>
      <c r="O43" s="29" t="s">
        <v>183</v>
      </c>
      <c r="P43" s="30"/>
      <c r="Q43" s="31"/>
    </row>
    <row r="44" spans="2:17" ht="15.75" thickBot="1" x14ac:dyDescent="0.3">
      <c r="B44" s="5">
        <v>3.2</v>
      </c>
      <c r="C44" s="6" t="s">
        <v>266</v>
      </c>
      <c r="D44" s="7"/>
      <c r="E44" s="8"/>
      <c r="O44" s="11" t="s">
        <v>348</v>
      </c>
      <c r="P44" s="7">
        <f>3.09+0.2+2.49+0.25</f>
        <v>6.03</v>
      </c>
      <c r="Q44" s="8" t="s">
        <v>85</v>
      </c>
    </row>
    <row r="45" spans="2:17" x14ac:dyDescent="0.25">
      <c r="B45" s="9" t="s">
        <v>39</v>
      </c>
      <c r="C45" s="7" t="s">
        <v>132</v>
      </c>
      <c r="D45" s="7" t="s">
        <v>33</v>
      </c>
      <c r="E45" s="8">
        <f>L55</f>
        <v>14</v>
      </c>
      <c r="G45" s="29" t="s">
        <v>333</v>
      </c>
      <c r="H45" s="30"/>
      <c r="I45" s="31"/>
      <c r="K45" s="29" t="s">
        <v>338</v>
      </c>
      <c r="L45" s="30"/>
      <c r="M45" s="31"/>
      <c r="O45" s="11" t="s">
        <v>349</v>
      </c>
      <c r="P45" s="7">
        <f>3.09+2.49</f>
        <v>5.58</v>
      </c>
      <c r="Q45" s="8" t="s">
        <v>85</v>
      </c>
    </row>
    <row r="46" spans="2:17" x14ac:dyDescent="0.25">
      <c r="B46" s="9" t="s">
        <v>40</v>
      </c>
      <c r="C46" s="19" t="s">
        <v>347</v>
      </c>
      <c r="D46" s="19" t="s">
        <v>33</v>
      </c>
      <c r="E46" s="45">
        <f>P51</f>
        <v>105.79020000000001</v>
      </c>
      <c r="G46" s="11" t="s">
        <v>141</v>
      </c>
      <c r="H46" s="7">
        <v>1.17</v>
      </c>
      <c r="I46" s="8" t="s">
        <v>85</v>
      </c>
      <c r="K46" s="11" t="s">
        <v>339</v>
      </c>
      <c r="L46" s="7">
        <f>E24</f>
        <v>52.48</v>
      </c>
      <c r="M46" s="8" t="s">
        <v>33</v>
      </c>
      <c r="O46" s="11" t="s">
        <v>350</v>
      </c>
      <c r="P46" s="7">
        <f>3.1+0.92+0.65</f>
        <v>4.6700000000000008</v>
      </c>
      <c r="Q46" s="8" t="s">
        <v>85</v>
      </c>
    </row>
    <row r="47" spans="2:17" x14ac:dyDescent="0.25">
      <c r="B47" s="5">
        <v>3.3</v>
      </c>
      <c r="C47" s="6" t="s">
        <v>267</v>
      </c>
      <c r="D47" s="6"/>
      <c r="E47" s="10"/>
      <c r="G47" s="11" t="s">
        <v>334</v>
      </c>
      <c r="H47" s="7">
        <f>13.12+2+13.12+2.75</f>
        <v>30.99</v>
      </c>
      <c r="I47" s="8" t="s">
        <v>85</v>
      </c>
      <c r="K47" s="11" t="s">
        <v>340</v>
      </c>
      <c r="L47" s="7">
        <f>E31</f>
        <v>11</v>
      </c>
      <c r="M47" s="8" t="s">
        <v>33</v>
      </c>
      <c r="O47" s="11" t="s">
        <v>351</v>
      </c>
      <c r="P47" s="7">
        <f>2+2</f>
        <v>4</v>
      </c>
      <c r="Q47" s="8" t="s">
        <v>85</v>
      </c>
    </row>
    <row r="48" spans="2:17" ht="15.75" thickBot="1" x14ac:dyDescent="0.3">
      <c r="B48" s="9" t="s">
        <v>44</v>
      </c>
      <c r="C48" s="7" t="s">
        <v>281</v>
      </c>
      <c r="D48" s="7" t="s">
        <v>9</v>
      </c>
      <c r="E48" s="8">
        <v>1</v>
      </c>
      <c r="G48" s="11" t="s">
        <v>335</v>
      </c>
      <c r="H48" s="64">
        <f>M30*0.06*H46</f>
        <v>2.1761999999999997</v>
      </c>
      <c r="I48" s="8" t="s">
        <v>33</v>
      </c>
      <c r="K48" s="12" t="s">
        <v>341</v>
      </c>
      <c r="L48" s="14">
        <f>L46+L47</f>
        <v>63.48</v>
      </c>
      <c r="M48" s="15" t="s">
        <v>33</v>
      </c>
      <c r="O48" s="11" t="s">
        <v>354</v>
      </c>
      <c r="P48" s="7">
        <f>0.39+0.99</f>
        <v>1.38</v>
      </c>
      <c r="Q48" s="8" t="s">
        <v>85</v>
      </c>
    </row>
    <row r="49" spans="2:17" ht="15.75" thickBot="1" x14ac:dyDescent="0.3">
      <c r="B49" s="25" t="s">
        <v>77</v>
      </c>
      <c r="C49" s="14" t="s">
        <v>282</v>
      </c>
      <c r="D49" s="14" t="s">
        <v>9</v>
      </c>
      <c r="E49" s="15">
        <v>1</v>
      </c>
      <c r="G49" s="11" t="s">
        <v>336</v>
      </c>
      <c r="H49" s="7">
        <f>H46*H47-H48</f>
        <v>34.082099999999997</v>
      </c>
      <c r="I49" s="8" t="s">
        <v>33</v>
      </c>
      <c r="O49" s="11" t="s">
        <v>355</v>
      </c>
      <c r="P49" s="7">
        <v>1.75</v>
      </c>
      <c r="Q49" s="8" t="s">
        <v>85</v>
      </c>
    </row>
    <row r="50" spans="2:17" ht="15.75" thickBot="1" x14ac:dyDescent="0.3">
      <c r="G50" s="12" t="s">
        <v>337</v>
      </c>
      <c r="H50" s="14">
        <f>2*H49</f>
        <v>68.164199999999994</v>
      </c>
      <c r="I50" s="15" t="s">
        <v>33</v>
      </c>
      <c r="K50" s="29" t="s">
        <v>342</v>
      </c>
      <c r="L50" s="31"/>
      <c r="O50" s="11" t="s">
        <v>352</v>
      </c>
      <c r="P50" s="50">
        <f>P44*P46+P45*P47+P49*P48</f>
        <v>52.895100000000006</v>
      </c>
      <c r="Q50" s="8" t="s">
        <v>33</v>
      </c>
    </row>
    <row r="51" spans="2:17" ht="15.75" thickBot="1" x14ac:dyDescent="0.3">
      <c r="K51" s="11" t="s">
        <v>343</v>
      </c>
      <c r="L51" s="8">
        <v>2</v>
      </c>
      <c r="O51" s="12" t="s">
        <v>353</v>
      </c>
      <c r="P51" s="74">
        <f>2*P50</f>
        <v>105.79020000000001</v>
      </c>
      <c r="Q51" s="15" t="s">
        <v>33</v>
      </c>
    </row>
    <row r="52" spans="2:17" x14ac:dyDescent="0.25">
      <c r="K52" s="11" t="s">
        <v>149</v>
      </c>
      <c r="L52" s="8">
        <v>1.75</v>
      </c>
    </row>
    <row r="53" spans="2:17" x14ac:dyDescent="0.25">
      <c r="K53" s="11" t="s">
        <v>344</v>
      </c>
      <c r="L53" s="8">
        <v>2</v>
      </c>
    </row>
    <row r="54" spans="2:17" x14ac:dyDescent="0.25">
      <c r="K54" s="11" t="s">
        <v>345</v>
      </c>
      <c r="L54" s="8">
        <f>L51*L52*L53</f>
        <v>7</v>
      </c>
    </row>
    <row r="55" spans="2:17" ht="15.75" thickBot="1" x14ac:dyDescent="0.3">
      <c r="K55" s="12" t="s">
        <v>346</v>
      </c>
      <c r="L55" s="15">
        <f>2*L54</f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3"/>
  <sheetViews>
    <sheetView topLeftCell="A25" workbookViewId="0">
      <selection activeCell="I21" sqref="I21"/>
    </sheetView>
  </sheetViews>
  <sheetFormatPr baseColWidth="10" defaultRowHeight="15" x14ac:dyDescent="0.25"/>
  <cols>
    <col min="2" max="2" width="8.140625" customWidth="1"/>
    <col min="3" max="3" width="49" customWidth="1"/>
    <col min="4" max="4" width="7.7109375" customWidth="1"/>
    <col min="8" max="8" width="30.5703125" customWidth="1"/>
  </cols>
  <sheetData>
    <row r="2" spans="2:10" x14ac:dyDescent="0.25">
      <c r="C2" s="1" t="s">
        <v>49</v>
      </c>
    </row>
    <row r="3" spans="2:10" ht="15.75" thickBot="1" x14ac:dyDescent="0.3"/>
    <row r="4" spans="2:10" ht="15.75" thickBot="1" x14ac:dyDescent="0.3">
      <c r="B4" s="16" t="s">
        <v>3</v>
      </c>
      <c r="C4" s="17" t="s">
        <v>4</v>
      </c>
      <c r="D4" s="17" t="s">
        <v>5</v>
      </c>
      <c r="E4" s="18" t="s">
        <v>6</v>
      </c>
    </row>
    <row r="5" spans="2:10" x14ac:dyDescent="0.25">
      <c r="B5" s="34">
        <v>1</v>
      </c>
      <c r="C5" s="35" t="s">
        <v>0</v>
      </c>
      <c r="D5" s="35"/>
      <c r="E5" s="36"/>
      <c r="H5" t="s">
        <v>117</v>
      </c>
    </row>
    <row r="6" spans="2:10" x14ac:dyDescent="0.25">
      <c r="B6" s="42">
        <v>1.1000000000000001</v>
      </c>
      <c r="C6" s="24" t="s">
        <v>7</v>
      </c>
      <c r="D6" s="19"/>
      <c r="E6" s="41"/>
      <c r="H6" t="s">
        <v>138</v>
      </c>
      <c r="I6">
        <v>0.25</v>
      </c>
      <c r="J6" t="s">
        <v>85</v>
      </c>
    </row>
    <row r="7" spans="2:10" x14ac:dyDescent="0.25">
      <c r="B7" s="43" t="s">
        <v>52</v>
      </c>
      <c r="C7" s="19" t="s">
        <v>116</v>
      </c>
      <c r="D7" s="19" t="s">
        <v>9</v>
      </c>
      <c r="E7" s="41">
        <v>1</v>
      </c>
      <c r="H7" t="s">
        <v>139</v>
      </c>
      <c r="I7">
        <v>0.25</v>
      </c>
      <c r="J7" t="s">
        <v>85</v>
      </c>
    </row>
    <row r="8" spans="2:10" x14ac:dyDescent="0.25">
      <c r="B8" s="42">
        <v>1.2</v>
      </c>
      <c r="C8" s="24" t="s">
        <v>117</v>
      </c>
      <c r="D8" s="19"/>
      <c r="E8" s="41"/>
      <c r="H8" t="s">
        <v>140</v>
      </c>
      <c r="I8">
        <f>3.3-2.6</f>
        <v>0.69999999999999973</v>
      </c>
      <c r="J8" t="s">
        <v>85</v>
      </c>
    </row>
    <row r="9" spans="2:10" x14ac:dyDescent="0.25">
      <c r="B9" s="43" t="s">
        <v>53</v>
      </c>
      <c r="C9" s="19" t="s">
        <v>137</v>
      </c>
      <c r="D9" s="19" t="s">
        <v>10</v>
      </c>
      <c r="E9" s="45">
        <f>I7*I9*I10+I8*I7*I9</f>
        <v>5.1519999999999992</v>
      </c>
      <c r="H9" t="s">
        <v>142</v>
      </c>
      <c r="I9">
        <v>4.5999999999999996</v>
      </c>
      <c r="J9" t="s">
        <v>85</v>
      </c>
    </row>
    <row r="10" spans="2:10" x14ac:dyDescent="0.25">
      <c r="B10" s="43" t="s">
        <v>122</v>
      </c>
      <c r="C10" s="19" t="s">
        <v>121</v>
      </c>
      <c r="D10" s="19" t="s">
        <v>10</v>
      </c>
      <c r="E10" s="45">
        <f>I11*I12*I13</f>
        <v>13.65</v>
      </c>
      <c r="H10" t="s">
        <v>141</v>
      </c>
      <c r="I10">
        <v>3.78</v>
      </c>
      <c r="J10" t="s">
        <v>85</v>
      </c>
    </row>
    <row r="11" spans="2:10" x14ac:dyDescent="0.25">
      <c r="B11" s="44" t="s">
        <v>123</v>
      </c>
      <c r="C11" s="19" t="s">
        <v>124</v>
      </c>
      <c r="D11" s="26" t="s">
        <v>10</v>
      </c>
      <c r="E11" s="45">
        <f>I14*I15*I16</f>
        <v>1.8399999999999999</v>
      </c>
      <c r="H11" t="s">
        <v>143</v>
      </c>
      <c r="I11">
        <v>9.1</v>
      </c>
      <c r="J11" t="s">
        <v>85</v>
      </c>
    </row>
    <row r="12" spans="2:10" x14ac:dyDescent="0.25">
      <c r="B12" s="42">
        <v>1.3</v>
      </c>
      <c r="C12" s="24" t="s">
        <v>8</v>
      </c>
      <c r="D12" s="19"/>
      <c r="E12" s="41"/>
      <c r="H12" t="s">
        <v>144</v>
      </c>
      <c r="I12">
        <v>0.3</v>
      </c>
      <c r="J12" t="s">
        <v>85</v>
      </c>
    </row>
    <row r="13" spans="2:10" x14ac:dyDescent="0.25">
      <c r="B13" s="23" t="s">
        <v>55</v>
      </c>
      <c r="C13" s="19" t="s">
        <v>118</v>
      </c>
      <c r="D13" s="19" t="s">
        <v>10</v>
      </c>
      <c r="E13" s="45">
        <f>I19*I20*I21+I22*I23*I24</f>
        <v>63.15</v>
      </c>
      <c r="H13" t="s">
        <v>145</v>
      </c>
      <c r="I13">
        <v>5</v>
      </c>
      <c r="J13" t="s">
        <v>85</v>
      </c>
    </row>
    <row r="14" spans="2:10" x14ac:dyDescent="0.25">
      <c r="B14" s="43" t="s">
        <v>119</v>
      </c>
      <c r="C14" s="19" t="s">
        <v>120</v>
      </c>
      <c r="D14" s="19" t="s">
        <v>10</v>
      </c>
      <c r="E14" s="45">
        <f>I18*I17*I13</f>
        <v>48.999999999999993</v>
      </c>
      <c r="H14" t="s">
        <v>146</v>
      </c>
      <c r="I14">
        <v>2</v>
      </c>
      <c r="J14" t="s">
        <v>85</v>
      </c>
    </row>
    <row r="15" spans="2:10" x14ac:dyDescent="0.25">
      <c r="B15" s="2">
        <v>2</v>
      </c>
      <c r="C15" s="3" t="s">
        <v>1</v>
      </c>
      <c r="D15" s="3"/>
      <c r="E15" s="4"/>
      <c r="H15" t="s">
        <v>148</v>
      </c>
      <c r="I15">
        <v>2.2999999999999998</v>
      </c>
      <c r="J15" t="s">
        <v>85</v>
      </c>
    </row>
    <row r="16" spans="2:10" x14ac:dyDescent="0.25">
      <c r="B16" s="5">
        <v>2.1</v>
      </c>
      <c r="C16" s="6" t="s">
        <v>11</v>
      </c>
      <c r="D16" s="7"/>
      <c r="E16" s="8"/>
      <c r="H16" t="s">
        <v>147</v>
      </c>
      <c r="I16">
        <v>0.4</v>
      </c>
      <c r="J16" t="s">
        <v>85</v>
      </c>
    </row>
    <row r="17" spans="2:10" x14ac:dyDescent="0.25">
      <c r="B17" s="9" t="s">
        <v>14</v>
      </c>
      <c r="C17" s="7" t="s">
        <v>126</v>
      </c>
      <c r="D17" s="7" t="s">
        <v>10</v>
      </c>
      <c r="E17" s="37">
        <f>0.3*5*2.76</f>
        <v>4.1399999999999997</v>
      </c>
      <c r="H17" t="s">
        <v>149</v>
      </c>
      <c r="I17">
        <v>7</v>
      </c>
      <c r="J17" t="s">
        <v>85</v>
      </c>
    </row>
    <row r="18" spans="2:10" x14ac:dyDescent="0.25">
      <c r="B18" s="9" t="s">
        <v>15</v>
      </c>
      <c r="C18" s="7" t="s">
        <v>125</v>
      </c>
      <c r="D18" s="7" t="s">
        <v>24</v>
      </c>
      <c r="E18" s="48">
        <f>E17*I34</f>
        <v>455.4</v>
      </c>
      <c r="H18" t="s">
        <v>150</v>
      </c>
      <c r="I18">
        <v>1.4</v>
      </c>
      <c r="J18" t="s">
        <v>85</v>
      </c>
    </row>
    <row r="19" spans="2:10" x14ac:dyDescent="0.25">
      <c r="B19" s="9" t="s">
        <v>61</v>
      </c>
      <c r="C19" s="7" t="s">
        <v>130</v>
      </c>
      <c r="D19" s="7" t="s">
        <v>10</v>
      </c>
      <c r="E19" s="8">
        <f>0.4*5*(1.4+0.25)</f>
        <v>3.3</v>
      </c>
      <c r="H19" t="s">
        <v>151</v>
      </c>
      <c r="I19">
        <f>0.5*(5.1+2.5)</f>
        <v>3.8</v>
      </c>
      <c r="J19" t="s">
        <v>85</v>
      </c>
    </row>
    <row r="20" spans="2:10" x14ac:dyDescent="0.25">
      <c r="B20" s="9" t="s">
        <v>62</v>
      </c>
      <c r="C20" s="7" t="s">
        <v>131</v>
      </c>
      <c r="D20" s="7" t="s">
        <v>24</v>
      </c>
      <c r="E20" s="37">
        <f>E19*I34</f>
        <v>363</v>
      </c>
      <c r="H20" t="s">
        <v>152</v>
      </c>
      <c r="I20">
        <f>2.2+0.3</f>
        <v>2.5</v>
      </c>
      <c r="J20" t="s">
        <v>85</v>
      </c>
    </row>
    <row r="21" spans="2:10" x14ac:dyDescent="0.25">
      <c r="B21" s="9" t="s">
        <v>63</v>
      </c>
      <c r="C21" s="7" t="s">
        <v>129</v>
      </c>
      <c r="D21" s="7" t="s">
        <v>10</v>
      </c>
      <c r="E21" s="8">
        <f>7*5*0.3</f>
        <v>10.5</v>
      </c>
      <c r="H21" t="s">
        <v>153</v>
      </c>
      <c r="I21">
        <v>5.7</v>
      </c>
      <c r="J21" t="s">
        <v>85</v>
      </c>
    </row>
    <row r="22" spans="2:10" x14ac:dyDescent="0.25">
      <c r="B22" s="9" t="s">
        <v>127</v>
      </c>
      <c r="C22" s="7" t="s">
        <v>128</v>
      </c>
      <c r="D22" s="7" t="s">
        <v>24</v>
      </c>
      <c r="E22" s="8">
        <f>E21*I34</f>
        <v>1155</v>
      </c>
      <c r="H22" t="s">
        <v>155</v>
      </c>
      <c r="I22">
        <v>1.5</v>
      </c>
      <c r="J22" t="s">
        <v>85</v>
      </c>
    </row>
    <row r="23" spans="2:10" x14ac:dyDescent="0.25">
      <c r="B23" s="5">
        <v>2.2000000000000002</v>
      </c>
      <c r="C23" s="6" t="s">
        <v>16</v>
      </c>
      <c r="D23" s="7"/>
      <c r="E23" s="8"/>
      <c r="H23" t="s">
        <v>154</v>
      </c>
      <c r="I23">
        <f>I20</f>
        <v>2.5</v>
      </c>
      <c r="J23" t="s">
        <v>85</v>
      </c>
    </row>
    <row r="24" spans="2:10" x14ac:dyDescent="0.25">
      <c r="B24" s="9" t="s">
        <v>18</v>
      </c>
      <c r="C24" s="7" t="s">
        <v>17</v>
      </c>
      <c r="D24" s="7" t="s">
        <v>24</v>
      </c>
      <c r="E24" s="8">
        <f>I32</f>
        <v>412.79999999999995</v>
      </c>
      <c r="H24" t="s">
        <v>156</v>
      </c>
      <c r="I24">
        <v>2.4</v>
      </c>
      <c r="J24" t="s">
        <v>85</v>
      </c>
    </row>
    <row r="25" spans="2:10" x14ac:dyDescent="0.25">
      <c r="B25" s="9" t="s">
        <v>19</v>
      </c>
      <c r="C25" s="7" t="s">
        <v>12</v>
      </c>
      <c r="D25" s="7" t="s">
        <v>10</v>
      </c>
      <c r="E25" s="8">
        <v>0</v>
      </c>
    </row>
    <row r="26" spans="2:10" x14ac:dyDescent="0.25">
      <c r="B26" s="9" t="s">
        <v>20</v>
      </c>
      <c r="C26" s="7" t="s">
        <v>13</v>
      </c>
      <c r="D26" s="7" t="s">
        <v>24</v>
      </c>
      <c r="E26" s="8">
        <f>E25*I34</f>
        <v>0</v>
      </c>
      <c r="H26" t="s">
        <v>158</v>
      </c>
      <c r="I26">
        <f>2*2.2+1.9*2</f>
        <v>8.1999999999999993</v>
      </c>
      <c r="J26" t="s">
        <v>32</v>
      </c>
    </row>
    <row r="27" spans="2:10" x14ac:dyDescent="0.25">
      <c r="B27" s="5">
        <v>2.2999999999999998</v>
      </c>
      <c r="C27" s="6" t="s">
        <v>22</v>
      </c>
      <c r="D27" s="7"/>
      <c r="E27" s="8"/>
      <c r="H27" t="s">
        <v>159</v>
      </c>
      <c r="I27">
        <v>3</v>
      </c>
    </row>
    <row r="28" spans="2:10" x14ac:dyDescent="0.25">
      <c r="B28" s="9" t="s">
        <v>21</v>
      </c>
      <c r="C28" s="7" t="s">
        <v>12</v>
      </c>
      <c r="D28" s="7" t="s">
        <v>10</v>
      </c>
      <c r="E28" s="45">
        <f>I73</f>
        <v>35.27075</v>
      </c>
      <c r="F28" s="19"/>
      <c r="H28" t="s">
        <v>160</v>
      </c>
      <c r="I28">
        <f>(2.2+0.5+0.3)*4</f>
        <v>12</v>
      </c>
      <c r="J28" t="s">
        <v>32</v>
      </c>
    </row>
    <row r="29" spans="2:10" x14ac:dyDescent="0.25">
      <c r="B29" s="9" t="s">
        <v>23</v>
      </c>
      <c r="C29" s="7" t="s">
        <v>13</v>
      </c>
      <c r="D29" s="7" t="s">
        <v>24</v>
      </c>
      <c r="E29" s="38">
        <f>E28*I34</f>
        <v>3879.7824999999998</v>
      </c>
      <c r="H29" t="s">
        <v>162</v>
      </c>
      <c r="I29">
        <v>2.2000000000000002</v>
      </c>
      <c r="J29" t="s">
        <v>32</v>
      </c>
    </row>
    <row r="30" spans="2:10" x14ac:dyDescent="0.25">
      <c r="B30" s="2">
        <v>3</v>
      </c>
      <c r="C30" s="3" t="s">
        <v>2</v>
      </c>
      <c r="D30" s="3"/>
      <c r="E30" s="4"/>
      <c r="H30" t="s">
        <v>164</v>
      </c>
      <c r="I30">
        <f>'01 Mesanina Andén Alt 1'!H24</f>
        <v>1.6000000000000001E-3</v>
      </c>
      <c r="J30" t="s">
        <v>161</v>
      </c>
    </row>
    <row r="31" spans="2:10" x14ac:dyDescent="0.25">
      <c r="B31" s="5">
        <v>3.1</v>
      </c>
      <c r="C31" s="6" t="s">
        <v>25</v>
      </c>
      <c r="D31" s="6"/>
      <c r="E31" s="10"/>
      <c r="H31" t="s">
        <v>165</v>
      </c>
      <c r="I31">
        <f>I30*7500</f>
        <v>12</v>
      </c>
    </row>
    <row r="32" spans="2:10" x14ac:dyDescent="0.25">
      <c r="B32" s="9" t="s">
        <v>28</v>
      </c>
      <c r="C32" s="7" t="s">
        <v>26</v>
      </c>
      <c r="D32" s="7" t="s">
        <v>32</v>
      </c>
      <c r="E32" s="8">
        <f>8*5</f>
        <v>40</v>
      </c>
      <c r="H32" t="s">
        <v>163</v>
      </c>
      <c r="I32">
        <f>(I26*I27-I29+I28)*I31</f>
        <v>412.79999999999995</v>
      </c>
      <c r="J32" t="s">
        <v>166</v>
      </c>
    </row>
    <row r="33" spans="2:12" x14ac:dyDescent="0.25">
      <c r="B33" s="9" t="s">
        <v>27</v>
      </c>
      <c r="C33" s="7" t="s">
        <v>132</v>
      </c>
      <c r="D33" s="7" t="s">
        <v>33</v>
      </c>
      <c r="E33" s="8">
        <f>10.11*5</f>
        <v>50.55</v>
      </c>
    </row>
    <row r="34" spans="2:12" x14ac:dyDescent="0.25">
      <c r="B34" s="23" t="s">
        <v>70</v>
      </c>
      <c r="C34" s="19" t="s">
        <v>133</v>
      </c>
      <c r="D34" s="19" t="s">
        <v>33</v>
      </c>
      <c r="E34" s="8">
        <f>2*(1.7*2.5+2.5*0.5*(2.5+3.9)+5*3.9+2.6*0.5*(3.9+2.5))-2.3*2</f>
        <v>75.540000000000006</v>
      </c>
      <c r="H34" s="52" t="s">
        <v>209</v>
      </c>
      <c r="I34" s="52">
        <v>110</v>
      </c>
      <c r="J34" s="52" t="s">
        <v>99</v>
      </c>
    </row>
    <row r="35" spans="2:12" x14ac:dyDescent="0.25">
      <c r="B35" s="5">
        <v>3.2</v>
      </c>
      <c r="C35" s="6" t="s">
        <v>29</v>
      </c>
      <c r="D35" s="7"/>
      <c r="E35" s="8"/>
    </row>
    <row r="36" spans="2:12" ht="15.75" thickBot="1" x14ac:dyDescent="0.3">
      <c r="B36" s="9" t="s">
        <v>39</v>
      </c>
      <c r="C36" s="7" t="s">
        <v>34</v>
      </c>
      <c r="D36" s="7" t="s">
        <v>33</v>
      </c>
      <c r="E36" s="8">
        <f>2.6*0.5+3*2.2*2.6</f>
        <v>18.460000000000004</v>
      </c>
    </row>
    <row r="37" spans="2:12" x14ac:dyDescent="0.25">
      <c r="B37" s="9" t="s">
        <v>40</v>
      </c>
      <c r="C37" s="7" t="s">
        <v>157</v>
      </c>
      <c r="D37" s="7" t="s">
        <v>33</v>
      </c>
      <c r="E37" s="8">
        <f>E36</f>
        <v>18.460000000000004</v>
      </c>
      <c r="H37" s="66" t="s">
        <v>233</v>
      </c>
      <c r="I37" s="67">
        <f>I38*I39*I40+K39*K40</f>
        <v>7.2089999999999996</v>
      </c>
      <c r="J37" s="31" t="s">
        <v>10</v>
      </c>
    </row>
    <row r="38" spans="2:12" ht="15.75" thickBot="1" x14ac:dyDescent="0.3">
      <c r="B38" s="9" t="s">
        <v>41</v>
      </c>
      <c r="C38" s="7" t="s">
        <v>30</v>
      </c>
      <c r="D38" s="7" t="s">
        <v>35</v>
      </c>
      <c r="E38" s="8">
        <f>3*8+4</f>
        <v>28</v>
      </c>
      <c r="H38" s="11" t="s">
        <v>240</v>
      </c>
      <c r="I38" s="7">
        <v>0.3</v>
      </c>
      <c r="J38" s="8" t="s">
        <v>85</v>
      </c>
    </row>
    <row r="39" spans="2:12" x14ac:dyDescent="0.25">
      <c r="B39" s="9" t="s">
        <v>42</v>
      </c>
      <c r="C39" s="7" t="s">
        <v>31</v>
      </c>
      <c r="D39" s="7" t="s">
        <v>9</v>
      </c>
      <c r="E39" s="8">
        <v>1</v>
      </c>
      <c r="H39" s="11" t="s">
        <v>141</v>
      </c>
      <c r="I39" s="29">
        <v>1.4</v>
      </c>
      <c r="J39" s="31" t="s">
        <v>85</v>
      </c>
      <c r="K39" s="31">
        <v>1.5</v>
      </c>
    </row>
    <row r="40" spans="2:12" ht="15.75" thickBot="1" x14ac:dyDescent="0.3">
      <c r="B40" s="5">
        <v>3.3</v>
      </c>
      <c r="C40" s="6" t="s">
        <v>36</v>
      </c>
      <c r="D40" s="7"/>
      <c r="E40" s="8"/>
      <c r="H40" s="11" t="s">
        <v>142</v>
      </c>
      <c r="I40" s="12">
        <f>3+3.45</f>
        <v>6.45</v>
      </c>
      <c r="J40" s="15" t="s">
        <v>85</v>
      </c>
      <c r="K40" s="15">
        <v>3</v>
      </c>
    </row>
    <row r="41" spans="2:12" x14ac:dyDescent="0.25">
      <c r="B41" s="11" t="s">
        <v>44</v>
      </c>
      <c r="C41" s="7" t="s">
        <v>37</v>
      </c>
      <c r="D41" s="7" t="s">
        <v>33</v>
      </c>
      <c r="E41" s="8">
        <f>'01 Mesanina Andén Alt 1'!E32</f>
        <v>11.3</v>
      </c>
      <c r="H41" s="54" t="s">
        <v>234</v>
      </c>
      <c r="I41" s="64">
        <f>I42*I43*I44+I42*K43*K44+I42*L43*L44</f>
        <v>11.821350000000001</v>
      </c>
      <c r="J41" s="8" t="s">
        <v>10</v>
      </c>
    </row>
    <row r="42" spans="2:12" ht="15.75" thickBot="1" x14ac:dyDescent="0.3">
      <c r="B42" s="23" t="s">
        <v>77</v>
      </c>
      <c r="C42" s="19" t="s">
        <v>136</v>
      </c>
      <c r="D42" s="19" t="s">
        <v>33</v>
      </c>
      <c r="E42" s="8">
        <f>(3.4+2.2+1.55)*2.3</f>
        <v>16.444999999999997</v>
      </c>
      <c r="H42" s="11" t="s">
        <v>240</v>
      </c>
      <c r="I42" s="7">
        <v>0.3</v>
      </c>
      <c r="J42" s="8" t="s">
        <v>85</v>
      </c>
    </row>
    <row r="43" spans="2:12" x14ac:dyDescent="0.25">
      <c r="B43" s="23" t="s">
        <v>134</v>
      </c>
      <c r="C43" s="7" t="s">
        <v>135</v>
      </c>
      <c r="D43" s="7" t="s">
        <v>33</v>
      </c>
      <c r="E43" s="8">
        <f>3.4*2.2</f>
        <v>7.48</v>
      </c>
      <c r="H43" s="11" t="s">
        <v>242</v>
      </c>
      <c r="I43" s="29">
        <v>7.25</v>
      </c>
      <c r="J43" s="31" t="s">
        <v>85</v>
      </c>
      <c r="K43" s="30">
        <f>I43-1.5</f>
        <v>5.75</v>
      </c>
      <c r="L43" s="31">
        <v>4.57</v>
      </c>
    </row>
    <row r="44" spans="2:12" ht="15.75" thickBot="1" x14ac:dyDescent="0.3">
      <c r="B44" s="5">
        <v>3.4</v>
      </c>
      <c r="C44" s="6" t="s">
        <v>45</v>
      </c>
      <c r="D44" s="7"/>
      <c r="E44" s="8"/>
      <c r="H44" s="11" t="s">
        <v>142</v>
      </c>
      <c r="I44" s="12">
        <v>3</v>
      </c>
      <c r="J44" s="15" t="s">
        <v>85</v>
      </c>
      <c r="K44" s="14">
        <v>1.6</v>
      </c>
      <c r="L44" s="15">
        <f>3.45-1.6</f>
        <v>1.85</v>
      </c>
    </row>
    <row r="45" spans="2:12" x14ac:dyDescent="0.25">
      <c r="B45" s="11" t="s">
        <v>47</v>
      </c>
      <c r="C45" s="7" t="s">
        <v>38</v>
      </c>
      <c r="D45" s="7" t="s">
        <v>9</v>
      </c>
      <c r="E45" s="8">
        <v>1</v>
      </c>
      <c r="H45" s="54" t="s">
        <v>235</v>
      </c>
      <c r="I45" s="7">
        <f>I46*I47*I48</f>
        <v>3.0162000000000004</v>
      </c>
      <c r="J45" s="8" t="s">
        <v>10</v>
      </c>
    </row>
    <row r="46" spans="2:12" ht="15.75" thickBot="1" x14ac:dyDescent="0.3">
      <c r="B46" s="12" t="s">
        <v>48</v>
      </c>
      <c r="C46" s="13" t="s">
        <v>46</v>
      </c>
      <c r="D46" s="14" t="s">
        <v>32</v>
      </c>
      <c r="E46" s="15">
        <v>20</v>
      </c>
      <c r="H46" s="11" t="s">
        <v>240</v>
      </c>
      <c r="I46" s="7">
        <v>0.3</v>
      </c>
      <c r="J46" s="8" t="s">
        <v>85</v>
      </c>
    </row>
    <row r="47" spans="2:12" x14ac:dyDescent="0.25">
      <c r="H47" s="11" t="s">
        <v>242</v>
      </c>
      <c r="I47" s="7">
        <v>4.57</v>
      </c>
      <c r="J47" s="8" t="s">
        <v>85</v>
      </c>
    </row>
    <row r="48" spans="2:12" x14ac:dyDescent="0.25">
      <c r="H48" s="11" t="s">
        <v>142</v>
      </c>
      <c r="I48" s="7">
        <v>2.2000000000000002</v>
      </c>
      <c r="J48" s="8" t="s">
        <v>85</v>
      </c>
    </row>
    <row r="49" spans="8:10" x14ac:dyDescent="0.25">
      <c r="H49" s="54" t="s">
        <v>236</v>
      </c>
      <c r="I49" s="7">
        <f>I50*I51*I52</f>
        <v>0.99</v>
      </c>
      <c r="J49" s="8" t="s">
        <v>10</v>
      </c>
    </row>
    <row r="50" spans="8:10" x14ac:dyDescent="0.25">
      <c r="H50" s="11" t="s">
        <v>241</v>
      </c>
      <c r="I50" s="7">
        <v>0.3</v>
      </c>
      <c r="J50" s="8" t="s">
        <v>85</v>
      </c>
    </row>
    <row r="51" spans="8:10" x14ac:dyDescent="0.25">
      <c r="H51" s="11" t="s">
        <v>242</v>
      </c>
      <c r="I51" s="7">
        <f>1.5</f>
        <v>1.5</v>
      </c>
      <c r="J51" s="8" t="s">
        <v>85</v>
      </c>
    </row>
    <row r="52" spans="8:10" x14ac:dyDescent="0.25">
      <c r="H52" s="11" t="s">
        <v>142</v>
      </c>
      <c r="I52" s="7">
        <v>2.2000000000000002</v>
      </c>
      <c r="J52" s="8" t="s">
        <v>85</v>
      </c>
    </row>
    <row r="53" spans="8:10" x14ac:dyDescent="0.25">
      <c r="H53" s="54" t="s">
        <v>237</v>
      </c>
      <c r="I53" s="7">
        <f>I54*I55*I56</f>
        <v>4.7850000000000001</v>
      </c>
      <c r="J53" s="8" t="s">
        <v>10</v>
      </c>
    </row>
    <row r="54" spans="8:10" x14ac:dyDescent="0.25">
      <c r="H54" s="11" t="s">
        <v>241</v>
      </c>
      <c r="I54" s="7">
        <v>0.3</v>
      </c>
      <c r="J54" s="8" t="s">
        <v>85</v>
      </c>
    </row>
    <row r="55" spans="8:10" x14ac:dyDescent="0.25">
      <c r="H55" s="11" t="s">
        <v>242</v>
      </c>
      <c r="I55" s="7">
        <v>7.25</v>
      </c>
      <c r="J55" s="8" t="s">
        <v>85</v>
      </c>
    </row>
    <row r="56" spans="8:10" x14ac:dyDescent="0.25">
      <c r="H56" s="11" t="s">
        <v>142</v>
      </c>
      <c r="I56" s="7">
        <v>2.2000000000000002</v>
      </c>
      <c r="J56" s="8" t="s">
        <v>85</v>
      </c>
    </row>
    <row r="57" spans="8:10" x14ac:dyDescent="0.25">
      <c r="H57" s="54" t="s">
        <v>238</v>
      </c>
      <c r="I57" s="7">
        <f>I58*I59*I60</f>
        <v>1.1000000000000001</v>
      </c>
      <c r="J57" s="8" t="s">
        <v>10</v>
      </c>
    </row>
    <row r="58" spans="8:10" x14ac:dyDescent="0.25">
      <c r="H58" s="11" t="s">
        <v>241</v>
      </c>
      <c r="I58" s="7">
        <v>0.2</v>
      </c>
      <c r="J58" s="8" t="s">
        <v>85</v>
      </c>
    </row>
    <row r="59" spans="8:10" x14ac:dyDescent="0.25">
      <c r="H59" s="11" t="s">
        <v>243</v>
      </c>
      <c r="I59" s="7">
        <v>2.2000000000000002</v>
      </c>
      <c r="J59" s="8" t="s">
        <v>85</v>
      </c>
    </row>
    <row r="60" spans="8:10" x14ac:dyDescent="0.25">
      <c r="H60" s="11" t="s">
        <v>244</v>
      </c>
      <c r="I60" s="7">
        <v>2.5</v>
      </c>
      <c r="J60" s="8" t="s">
        <v>85</v>
      </c>
    </row>
    <row r="61" spans="8:10" x14ac:dyDescent="0.25">
      <c r="H61" s="54" t="s">
        <v>247</v>
      </c>
      <c r="I61" s="7">
        <f>I62*I63*I64</f>
        <v>3.4155000000000006</v>
      </c>
      <c r="J61" s="8" t="s">
        <v>10</v>
      </c>
    </row>
    <row r="62" spans="8:10" x14ac:dyDescent="0.25">
      <c r="H62" s="11" t="s">
        <v>241</v>
      </c>
      <c r="I62" s="7">
        <v>0.45</v>
      </c>
      <c r="J62" s="8" t="s">
        <v>85</v>
      </c>
    </row>
    <row r="63" spans="8:10" x14ac:dyDescent="0.25">
      <c r="H63" s="11" t="s">
        <v>242</v>
      </c>
      <c r="I63" s="7">
        <v>2.2000000000000002</v>
      </c>
      <c r="J63" s="8" t="s">
        <v>85</v>
      </c>
    </row>
    <row r="64" spans="8:10" x14ac:dyDescent="0.25">
      <c r="H64" s="11" t="s">
        <v>142</v>
      </c>
      <c r="I64" s="7">
        <v>3.45</v>
      </c>
      <c r="J64" s="8" t="s">
        <v>85</v>
      </c>
    </row>
    <row r="65" spans="8:10" x14ac:dyDescent="0.25">
      <c r="H65" s="54" t="s">
        <v>239</v>
      </c>
      <c r="I65" s="7">
        <f>I66*I67*I68</f>
        <v>1.8975000000000002</v>
      </c>
      <c r="J65" s="8" t="s">
        <v>10</v>
      </c>
    </row>
    <row r="66" spans="8:10" x14ac:dyDescent="0.25">
      <c r="H66" s="11" t="s">
        <v>241</v>
      </c>
      <c r="I66" s="7">
        <v>0.25</v>
      </c>
      <c r="J66" s="8" t="s">
        <v>85</v>
      </c>
    </row>
    <row r="67" spans="8:10" x14ac:dyDescent="0.25">
      <c r="H67" s="11" t="s">
        <v>242</v>
      </c>
      <c r="I67" s="7">
        <v>2.2000000000000002</v>
      </c>
      <c r="J67" s="8" t="s">
        <v>85</v>
      </c>
    </row>
    <row r="68" spans="8:10" x14ac:dyDescent="0.25">
      <c r="H68" s="11" t="s">
        <v>142</v>
      </c>
      <c r="I68" s="7">
        <v>3.45</v>
      </c>
      <c r="J68" s="8" t="s">
        <v>85</v>
      </c>
    </row>
    <row r="69" spans="8:10" x14ac:dyDescent="0.25">
      <c r="H69" s="54" t="s">
        <v>248</v>
      </c>
      <c r="I69" s="7">
        <f>I70*I71*I72</f>
        <v>1.0362</v>
      </c>
      <c r="J69" s="8" t="s">
        <v>10</v>
      </c>
    </row>
    <row r="70" spans="8:10" x14ac:dyDescent="0.25">
      <c r="H70" s="11" t="s">
        <v>241</v>
      </c>
      <c r="I70" s="7">
        <v>0.3</v>
      </c>
      <c r="J70" s="8" t="s">
        <v>85</v>
      </c>
    </row>
    <row r="71" spans="8:10" x14ac:dyDescent="0.25">
      <c r="H71" s="11" t="s">
        <v>242</v>
      </c>
      <c r="I71" s="7">
        <v>1.57</v>
      </c>
      <c r="J71" s="8" t="s">
        <v>85</v>
      </c>
    </row>
    <row r="72" spans="8:10" ht="15.75" thickBot="1" x14ac:dyDescent="0.3">
      <c r="H72" s="11" t="s">
        <v>249</v>
      </c>
      <c r="I72" s="7">
        <v>2.2000000000000002</v>
      </c>
      <c r="J72" s="8" t="s">
        <v>85</v>
      </c>
    </row>
    <row r="73" spans="8:10" ht="15.75" thickBot="1" x14ac:dyDescent="0.3">
      <c r="H73" s="16" t="s">
        <v>245</v>
      </c>
      <c r="I73" s="65">
        <f>I65+I57+I53+I49+I45+I41+I37+I69+I61</f>
        <v>35.27075</v>
      </c>
      <c r="J73" s="18" t="s">
        <v>10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15"/>
  <sheetViews>
    <sheetView topLeftCell="F4" workbookViewId="0">
      <selection activeCell="M22" sqref="M22"/>
    </sheetView>
  </sheetViews>
  <sheetFormatPr baseColWidth="10" defaultRowHeight="15" x14ac:dyDescent="0.25"/>
  <cols>
    <col min="2" max="2" width="8.5703125" customWidth="1"/>
    <col min="3" max="3" width="58" customWidth="1"/>
    <col min="4" max="4" width="8.7109375" customWidth="1"/>
    <col min="5" max="6" width="11.42578125" style="77"/>
    <col min="7" max="7" width="11.42578125" style="68" hidden="1" customWidth="1"/>
    <col min="8" max="8" width="39.5703125" style="11" bestFit="1" customWidth="1"/>
    <col min="9" max="10" width="11.42578125" style="51"/>
    <col min="11" max="11" width="22" style="51" customWidth="1"/>
    <col min="12" max="12" width="14.85546875" style="51" customWidth="1"/>
    <col min="13" max="13" width="14.5703125" style="63" bestFit="1" customWidth="1"/>
    <col min="14" max="14" width="55.42578125" style="7" bestFit="1" customWidth="1"/>
    <col min="15" max="16" width="11.42578125" style="7"/>
    <col min="17" max="17" width="17.7109375" style="7" customWidth="1"/>
    <col min="18" max="18" width="11.42578125" style="7"/>
    <col min="19" max="19" width="11.42578125" style="8"/>
    <col min="20" max="22" width="11.42578125" style="7"/>
    <col min="23" max="23" width="11.42578125" style="8"/>
  </cols>
  <sheetData>
    <row r="2" spans="2:18" x14ac:dyDescent="0.25">
      <c r="C2" s="1" t="s">
        <v>252</v>
      </c>
    </row>
    <row r="3" spans="2:18" ht="15.75" thickBot="1" x14ac:dyDescent="0.3">
      <c r="K3" s="51" t="s">
        <v>194</v>
      </c>
      <c r="L3" s="51">
        <v>25042.22</v>
      </c>
    </row>
    <row r="4" spans="2:18" ht="15.75" thickBot="1" x14ac:dyDescent="0.3">
      <c r="B4" s="16" t="s">
        <v>3</v>
      </c>
      <c r="C4" s="17" t="s">
        <v>4</v>
      </c>
      <c r="D4" s="17" t="s">
        <v>193</v>
      </c>
      <c r="E4" s="78" t="s">
        <v>196</v>
      </c>
      <c r="F4" s="97"/>
      <c r="G4" s="69" t="s">
        <v>197</v>
      </c>
      <c r="H4" s="54" t="s">
        <v>167</v>
      </c>
    </row>
    <row r="5" spans="2:18" x14ac:dyDescent="0.25">
      <c r="B5" s="2">
        <v>1</v>
      </c>
      <c r="C5" s="71" t="s">
        <v>250</v>
      </c>
      <c r="D5" s="3"/>
      <c r="E5" s="79"/>
      <c r="F5" s="103"/>
      <c r="H5" s="54" t="s">
        <v>172</v>
      </c>
      <c r="I5" s="51" t="s">
        <v>192</v>
      </c>
      <c r="J5" s="51" t="s">
        <v>191</v>
      </c>
      <c r="K5" s="51" t="s">
        <v>203</v>
      </c>
      <c r="L5" s="63" t="s">
        <v>206</v>
      </c>
      <c r="M5" s="63" t="s">
        <v>207</v>
      </c>
      <c r="N5" s="7" t="s">
        <v>208</v>
      </c>
    </row>
    <row r="6" spans="2:18" x14ac:dyDescent="0.25">
      <c r="B6" s="42">
        <v>1.1000000000000001</v>
      </c>
      <c r="C6" s="24" t="s">
        <v>7</v>
      </c>
      <c r="D6" s="19"/>
      <c r="E6" s="80"/>
      <c r="F6" s="63"/>
      <c r="H6" s="54"/>
      <c r="L6" s="63"/>
    </row>
    <row r="7" spans="2:18" ht="15.75" x14ac:dyDescent="0.25">
      <c r="B7" s="43" t="s">
        <v>52</v>
      </c>
      <c r="C7" s="19" t="s">
        <v>116</v>
      </c>
      <c r="D7" s="19" t="s">
        <v>9</v>
      </c>
      <c r="E7" s="80">
        <f>I15</f>
        <v>0</v>
      </c>
      <c r="F7" s="104" t="s">
        <v>381</v>
      </c>
      <c r="G7" s="70">
        <f>E7*$L$3</f>
        <v>0</v>
      </c>
      <c r="H7" s="54"/>
      <c r="L7" s="63"/>
    </row>
    <row r="8" spans="2:18" x14ac:dyDescent="0.25">
      <c r="B8" s="42">
        <v>1.2</v>
      </c>
      <c r="C8" s="24" t="s">
        <v>117</v>
      </c>
      <c r="D8" s="19"/>
      <c r="E8" s="80"/>
      <c r="F8" s="63"/>
      <c r="G8" s="70"/>
      <c r="L8" s="63"/>
    </row>
    <row r="9" spans="2:18" x14ac:dyDescent="0.25">
      <c r="B9" s="43" t="s">
        <v>53</v>
      </c>
      <c r="C9" s="19" t="s">
        <v>137</v>
      </c>
      <c r="D9" s="19" t="s">
        <v>10</v>
      </c>
      <c r="E9" s="80">
        <f>I9</f>
        <v>1.32</v>
      </c>
      <c r="F9" s="63"/>
      <c r="G9" s="70">
        <f t="shared" ref="G9:G46" si="0">E9*$L$3</f>
        <v>33055.7304</v>
      </c>
      <c r="H9" s="11" t="s">
        <v>168</v>
      </c>
      <c r="I9" s="51">
        <f>M9</f>
        <v>1.32</v>
      </c>
      <c r="J9" s="51" t="s">
        <v>366</v>
      </c>
      <c r="K9" s="89">
        <f>I9*$L$3</f>
        <v>33055.7304</v>
      </c>
      <c r="L9" s="63">
        <v>1.32</v>
      </c>
      <c r="M9" s="63">
        <f>L9</f>
        <v>1.32</v>
      </c>
    </row>
    <row r="10" spans="2:18" x14ac:dyDescent="0.25">
      <c r="B10" s="43" t="s">
        <v>122</v>
      </c>
      <c r="C10" s="19" t="s">
        <v>121</v>
      </c>
      <c r="D10" s="19" t="s">
        <v>10</v>
      </c>
      <c r="E10" s="80">
        <f>I10</f>
        <v>3.89</v>
      </c>
      <c r="F10" s="63"/>
      <c r="G10" s="70">
        <f t="shared" si="0"/>
        <v>97414.235800000009</v>
      </c>
      <c r="H10" s="11" t="s">
        <v>169</v>
      </c>
      <c r="I10" s="51">
        <f>M10</f>
        <v>3.89</v>
      </c>
      <c r="J10" s="51" t="s">
        <v>366</v>
      </c>
      <c r="K10" s="89">
        <f t="shared" ref="K10:K35" si="1">I10*$L$3</f>
        <v>97414.235800000009</v>
      </c>
      <c r="L10" s="63">
        <v>3.89</v>
      </c>
      <c r="M10" s="63">
        <f>L10</f>
        <v>3.89</v>
      </c>
    </row>
    <row r="11" spans="2:18" ht="15.75" thickBot="1" x14ac:dyDescent="0.3">
      <c r="B11" s="44" t="s">
        <v>123</v>
      </c>
      <c r="C11" s="19" t="s">
        <v>124</v>
      </c>
      <c r="D11" s="26" t="s">
        <v>10</v>
      </c>
      <c r="E11" s="80">
        <f>I9</f>
        <v>1.32</v>
      </c>
      <c r="F11" s="63"/>
      <c r="G11" s="70">
        <f t="shared" si="0"/>
        <v>33055.7304</v>
      </c>
      <c r="H11" s="11" t="s">
        <v>8</v>
      </c>
      <c r="I11" s="51">
        <f>M11</f>
        <v>1.5229999999999999</v>
      </c>
      <c r="J11" s="51" t="s">
        <v>366</v>
      </c>
      <c r="K11" s="89">
        <f>I11*$L$3</f>
        <v>38139.301059999998</v>
      </c>
      <c r="L11" s="91">
        <v>1.5229999999999999</v>
      </c>
      <c r="M11" s="91">
        <f>L11</f>
        <v>1.5229999999999999</v>
      </c>
    </row>
    <row r="12" spans="2:18" ht="15.75" thickBot="1" x14ac:dyDescent="0.3">
      <c r="B12" s="42">
        <v>1.3</v>
      </c>
      <c r="C12" s="24" t="s">
        <v>8</v>
      </c>
      <c r="D12" s="19"/>
      <c r="E12" s="80"/>
      <c r="F12" s="63"/>
      <c r="G12" s="70"/>
      <c r="H12" s="43" t="s">
        <v>356</v>
      </c>
      <c r="I12" s="86">
        <f>M12</f>
        <v>5.7112499999999997</v>
      </c>
      <c r="J12" s="69" t="s">
        <v>366</v>
      </c>
      <c r="K12" s="90">
        <f>I12*$L$3</f>
        <v>143022.378975</v>
      </c>
      <c r="L12" s="97">
        <f>L11</f>
        <v>1.5229999999999999</v>
      </c>
      <c r="M12" s="92">
        <f>L12*R12</f>
        <v>5.7112499999999997</v>
      </c>
      <c r="N12" s="7" t="s">
        <v>357</v>
      </c>
      <c r="Q12" s="16" t="s">
        <v>358</v>
      </c>
      <c r="R12" s="18">
        <f>1.5*10/4</f>
        <v>3.75</v>
      </c>
    </row>
    <row r="13" spans="2:18" x14ac:dyDescent="0.25">
      <c r="B13" s="23" t="s">
        <v>55</v>
      </c>
      <c r="C13" s="19" t="s">
        <v>118</v>
      </c>
      <c r="D13" s="19" t="s">
        <v>10</v>
      </c>
      <c r="E13" s="80">
        <f>I11</f>
        <v>1.5229999999999999</v>
      </c>
      <c r="F13" s="63"/>
      <c r="G13" s="70">
        <f t="shared" si="0"/>
        <v>38139.301059999998</v>
      </c>
      <c r="H13" s="43" t="s">
        <v>368</v>
      </c>
      <c r="I13" s="86">
        <f>M13</f>
        <v>6.3445833333333335</v>
      </c>
      <c r="J13" s="69" t="s">
        <v>361</v>
      </c>
      <c r="K13" s="90">
        <f>I13*$L$3</f>
        <v>158882.45164166667</v>
      </c>
      <c r="L13" s="97">
        <v>15.227</v>
      </c>
      <c r="M13" s="92">
        <f>(L13/6)*10/4</f>
        <v>6.3445833333333335</v>
      </c>
      <c r="N13" s="7" t="s">
        <v>371</v>
      </c>
    </row>
    <row r="14" spans="2:18" x14ac:dyDescent="0.25">
      <c r="B14" s="43" t="s">
        <v>119</v>
      </c>
      <c r="C14" s="19" t="s">
        <v>120</v>
      </c>
      <c r="D14" s="19" t="s">
        <v>10</v>
      </c>
      <c r="E14" s="80">
        <f>I11</f>
        <v>1.5229999999999999</v>
      </c>
      <c r="F14" s="63"/>
      <c r="G14" s="70">
        <f t="shared" si="0"/>
        <v>38139.301059999998</v>
      </c>
      <c r="H14" s="55" t="s">
        <v>171</v>
      </c>
      <c r="K14" s="89"/>
      <c r="L14" s="63"/>
    </row>
    <row r="15" spans="2:18" x14ac:dyDescent="0.25">
      <c r="B15" s="2">
        <v>2</v>
      </c>
      <c r="C15" s="71" t="s">
        <v>1</v>
      </c>
      <c r="D15" s="3"/>
      <c r="E15" s="79"/>
      <c r="F15" s="103"/>
      <c r="G15" s="70"/>
      <c r="H15" s="11" t="str">
        <f>C7</f>
        <v>Cambio de servicios post levantamiento</v>
      </c>
      <c r="I15" s="51">
        <f>M15</f>
        <v>0</v>
      </c>
      <c r="J15" s="51" t="s">
        <v>360</v>
      </c>
      <c r="K15" s="89">
        <f>I15*$L$3</f>
        <v>0</v>
      </c>
      <c r="L15" s="63">
        <v>200</v>
      </c>
      <c r="M15" s="93">
        <f>L15*0</f>
        <v>0</v>
      </c>
    </row>
    <row r="16" spans="2:18" x14ac:dyDescent="0.25">
      <c r="B16" s="5">
        <v>2.1</v>
      </c>
      <c r="C16" s="6" t="s">
        <v>11</v>
      </c>
      <c r="D16" s="7"/>
      <c r="E16" s="80"/>
      <c r="F16" s="63"/>
      <c r="G16" s="70"/>
      <c r="H16" s="54" t="s">
        <v>173</v>
      </c>
      <c r="K16" s="89"/>
      <c r="L16" s="63"/>
    </row>
    <row r="17" spans="2:14" x14ac:dyDescent="0.25">
      <c r="B17" s="9" t="s">
        <v>14</v>
      </c>
      <c r="C17" s="7" t="s">
        <v>126</v>
      </c>
      <c r="D17" s="7" t="s">
        <v>10</v>
      </c>
      <c r="E17" s="80">
        <f>I17</f>
        <v>6.4811999999999994</v>
      </c>
      <c r="F17" s="63"/>
      <c r="G17" s="70">
        <f t="shared" si="0"/>
        <v>162303.636264</v>
      </c>
      <c r="H17" s="11" t="s">
        <v>174</v>
      </c>
      <c r="I17" s="51">
        <f t="shared" ref="I17:I23" si="2">M17</f>
        <v>6.4811999999999994</v>
      </c>
      <c r="J17" s="51" t="s">
        <v>366</v>
      </c>
      <c r="K17" s="89">
        <f t="shared" si="1"/>
        <v>162303.636264</v>
      </c>
      <c r="L17" s="63">
        <v>5.4009999999999998</v>
      </c>
      <c r="M17" s="63">
        <f>L17*1.2</f>
        <v>6.4811999999999994</v>
      </c>
      <c r="N17" s="7" t="s">
        <v>205</v>
      </c>
    </row>
    <row r="18" spans="2:14" x14ac:dyDescent="0.25">
      <c r="B18" s="9" t="s">
        <v>15</v>
      </c>
      <c r="C18" s="7" t="s">
        <v>125</v>
      </c>
      <c r="D18" s="7" t="s">
        <v>24</v>
      </c>
      <c r="E18" s="80">
        <f>I19</f>
        <v>4.7E-2</v>
      </c>
      <c r="F18" s="63"/>
      <c r="G18" s="70">
        <f t="shared" si="0"/>
        <v>1176.98434</v>
      </c>
      <c r="H18" s="11" t="s">
        <v>175</v>
      </c>
      <c r="I18" s="51">
        <f t="shared" si="2"/>
        <v>11.227</v>
      </c>
      <c r="J18" s="51" t="str">
        <f>J17</f>
        <v>Uf/m3</v>
      </c>
      <c r="K18" s="89">
        <f t="shared" si="1"/>
        <v>281149.00394000002</v>
      </c>
      <c r="L18" s="63">
        <v>11.227</v>
      </c>
      <c r="M18" s="63">
        <v>11.227</v>
      </c>
      <c r="N18" s="7" t="s">
        <v>198</v>
      </c>
    </row>
    <row r="19" spans="2:14" x14ac:dyDescent="0.25">
      <c r="B19" s="9" t="s">
        <v>61</v>
      </c>
      <c r="C19" s="7" t="s">
        <v>130</v>
      </c>
      <c r="D19" s="7" t="s">
        <v>10</v>
      </c>
      <c r="E19" s="80">
        <f>I17</f>
        <v>6.4811999999999994</v>
      </c>
      <c r="F19" s="63"/>
      <c r="G19" s="70">
        <f t="shared" si="0"/>
        <v>162303.636264</v>
      </c>
      <c r="H19" s="11" t="s">
        <v>176</v>
      </c>
      <c r="I19" s="51">
        <f t="shared" si="2"/>
        <v>4.7E-2</v>
      </c>
      <c r="J19" s="51" t="s">
        <v>367</v>
      </c>
      <c r="K19" s="89">
        <f t="shared" si="1"/>
        <v>1176.98434</v>
      </c>
      <c r="L19" s="63">
        <v>4.7E-2</v>
      </c>
      <c r="M19" s="63">
        <f>L19</f>
        <v>4.7E-2</v>
      </c>
      <c r="N19" s="7" t="s">
        <v>199</v>
      </c>
    </row>
    <row r="20" spans="2:14" x14ac:dyDescent="0.25">
      <c r="B20" s="9" t="s">
        <v>62</v>
      </c>
      <c r="C20" s="7" t="s">
        <v>131</v>
      </c>
      <c r="D20" s="7" t="s">
        <v>24</v>
      </c>
      <c r="E20" s="80">
        <f>I19</f>
        <v>4.7E-2</v>
      </c>
      <c r="F20" s="63"/>
      <c r="G20" s="70">
        <f t="shared" si="0"/>
        <v>1176.98434</v>
      </c>
      <c r="H20" s="11" t="s">
        <v>177</v>
      </c>
      <c r="I20" s="51">
        <f t="shared" si="2"/>
        <v>7.0500000000000007E-2</v>
      </c>
      <c r="J20" s="51" t="s">
        <v>367</v>
      </c>
      <c r="K20" s="89">
        <f t="shared" si="1"/>
        <v>1765.4765100000002</v>
      </c>
      <c r="L20" s="63">
        <v>4.7E-2</v>
      </c>
      <c r="M20" s="94">
        <f>L20*1.5</f>
        <v>7.0500000000000007E-2</v>
      </c>
      <c r="N20" s="7" t="s">
        <v>200</v>
      </c>
    </row>
    <row r="21" spans="2:14" x14ac:dyDescent="0.25">
      <c r="B21" s="9" t="s">
        <v>63</v>
      </c>
      <c r="C21" s="7" t="s">
        <v>129</v>
      </c>
      <c r="D21" s="7" t="s">
        <v>10</v>
      </c>
      <c r="E21" s="80">
        <f>I17</f>
        <v>6.4811999999999994</v>
      </c>
      <c r="F21" s="63"/>
      <c r="G21" s="70">
        <f t="shared" si="0"/>
        <v>162303.636264</v>
      </c>
      <c r="H21" s="11" t="s">
        <v>178</v>
      </c>
      <c r="I21" s="51">
        <f t="shared" si="2"/>
        <v>0.10559999999999999</v>
      </c>
      <c r="J21" s="51" t="s">
        <v>367</v>
      </c>
      <c r="K21" s="89">
        <f t="shared" si="1"/>
        <v>2644.4584319999999</v>
      </c>
      <c r="L21" s="63">
        <v>8.7999999999999995E-2</v>
      </c>
      <c r="M21" s="94">
        <f>L21*1.2</f>
        <v>0.10559999999999999</v>
      </c>
      <c r="N21" s="7" t="s">
        <v>201</v>
      </c>
    </row>
    <row r="22" spans="2:14" x14ac:dyDescent="0.25">
      <c r="B22" s="9" t="s">
        <v>127</v>
      </c>
      <c r="C22" s="7" t="s">
        <v>128</v>
      </c>
      <c r="D22" s="7" t="s">
        <v>24</v>
      </c>
      <c r="E22" s="80">
        <f>I19</f>
        <v>4.7E-2</v>
      </c>
      <c r="F22" s="63"/>
      <c r="G22" s="70">
        <f t="shared" si="0"/>
        <v>1176.98434</v>
      </c>
      <c r="H22" s="11" t="s">
        <v>179</v>
      </c>
      <c r="I22" s="51">
        <f t="shared" si="2"/>
        <v>0.21999999999999997</v>
      </c>
      <c r="J22" s="51" t="s">
        <v>367</v>
      </c>
      <c r="K22" s="89">
        <f t="shared" si="1"/>
        <v>5509.2883999999995</v>
      </c>
      <c r="L22" s="63">
        <f>L21</f>
        <v>8.7999999999999995E-2</v>
      </c>
      <c r="M22" s="63">
        <f>L22*2.5</f>
        <v>0.21999999999999997</v>
      </c>
      <c r="N22" s="7" t="s">
        <v>202</v>
      </c>
    </row>
    <row r="23" spans="2:14" x14ac:dyDescent="0.25">
      <c r="B23" s="5">
        <v>2.2000000000000002</v>
      </c>
      <c r="C23" s="6" t="s">
        <v>16</v>
      </c>
      <c r="D23" s="7"/>
      <c r="E23" s="80"/>
      <c r="F23" s="63"/>
      <c r="G23" s="70"/>
      <c r="H23" s="11" t="s">
        <v>180</v>
      </c>
      <c r="I23" s="87">
        <f t="shared" si="2"/>
        <v>0.74610839319819844</v>
      </c>
      <c r="J23" s="51" t="s">
        <v>362</v>
      </c>
      <c r="K23" s="89">
        <f>I23*$L$3</f>
        <v>18684.21052631579</v>
      </c>
      <c r="L23" s="63">
        <v>7100</v>
      </c>
      <c r="M23" s="94">
        <f>(L23/(0.8*(0.95)))*2/L3</f>
        <v>0.74610839319819844</v>
      </c>
      <c r="N23" s="7" t="s">
        <v>204</v>
      </c>
    </row>
    <row r="24" spans="2:14" x14ac:dyDescent="0.25">
      <c r="B24" s="9" t="s">
        <v>18</v>
      </c>
      <c r="C24" s="7" t="s">
        <v>17</v>
      </c>
      <c r="D24" s="7" t="s">
        <v>24</v>
      </c>
      <c r="E24" s="80">
        <f>I21</f>
        <v>0.10559999999999999</v>
      </c>
      <c r="F24" s="63"/>
      <c r="G24" s="70">
        <f t="shared" si="0"/>
        <v>2644.4584319999999</v>
      </c>
      <c r="H24" s="11" t="s">
        <v>231</v>
      </c>
      <c r="I24" s="51">
        <v>0.24099999999999999</v>
      </c>
      <c r="J24" s="51" t="s">
        <v>366</v>
      </c>
      <c r="K24" s="89">
        <f>I24*$L$3</f>
        <v>6035.1750199999997</v>
      </c>
      <c r="L24" s="63">
        <v>0.24099999999999999</v>
      </c>
      <c r="M24" s="94">
        <f>1.5*L24</f>
        <v>0.36149999999999999</v>
      </c>
      <c r="N24" s="19" t="s">
        <v>230</v>
      </c>
    </row>
    <row r="25" spans="2:14" x14ac:dyDescent="0.25">
      <c r="B25" s="9" t="s">
        <v>19</v>
      </c>
      <c r="C25" s="7" t="s">
        <v>12</v>
      </c>
      <c r="D25" s="7" t="s">
        <v>10</v>
      </c>
      <c r="E25" s="80">
        <f>I17</f>
        <v>6.4811999999999994</v>
      </c>
      <c r="F25" s="63"/>
      <c r="G25" s="70">
        <f t="shared" si="0"/>
        <v>162303.636264</v>
      </c>
      <c r="H25" s="54" t="s">
        <v>2</v>
      </c>
      <c r="K25" s="89"/>
      <c r="L25" s="63"/>
    </row>
    <row r="26" spans="2:14" ht="15.75" thickBot="1" x14ac:dyDescent="0.3">
      <c r="B26" s="9" t="s">
        <v>20</v>
      </c>
      <c r="C26" s="7" t="s">
        <v>13</v>
      </c>
      <c r="D26" s="7" t="s">
        <v>24</v>
      </c>
      <c r="E26" s="80">
        <f>I17</f>
        <v>6.4811999999999994</v>
      </c>
      <c r="F26" s="63"/>
      <c r="G26" s="70">
        <f t="shared" si="0"/>
        <v>162303.636264</v>
      </c>
      <c r="H26" s="11" t="s">
        <v>318</v>
      </c>
      <c r="I26" s="88">
        <f t="shared" ref="I26:I34" si="3">M26</f>
        <v>0.6</v>
      </c>
      <c r="J26" s="51" t="s">
        <v>319</v>
      </c>
      <c r="K26" s="89">
        <f>I26*$L$3</f>
        <v>15025.332</v>
      </c>
      <c r="L26" s="97">
        <v>0.6</v>
      </c>
      <c r="M26" s="63">
        <f>L26</f>
        <v>0.6</v>
      </c>
      <c r="N26" s="19" t="s">
        <v>378</v>
      </c>
    </row>
    <row r="27" spans="2:14" x14ac:dyDescent="0.25">
      <c r="B27" s="5">
        <v>2.2999999999999998</v>
      </c>
      <c r="C27" s="6" t="s">
        <v>22</v>
      </c>
      <c r="D27" s="7"/>
      <c r="E27" s="80"/>
      <c r="F27" s="63"/>
      <c r="G27" s="70"/>
      <c r="H27" s="11" t="s">
        <v>26</v>
      </c>
      <c r="I27" s="88">
        <f t="shared" si="3"/>
        <v>2.1176470588235294</v>
      </c>
      <c r="J27" s="51" t="s">
        <v>361</v>
      </c>
      <c r="K27" s="89">
        <f>I27*$L$3</f>
        <v>53030.583529411771</v>
      </c>
      <c r="L27" s="98">
        <v>0.9</v>
      </c>
      <c r="M27" s="91">
        <f>(L27/(0.3+0.21))*1.2</f>
        <v>2.1176470588235294</v>
      </c>
      <c r="N27" s="7" t="s">
        <v>379</v>
      </c>
    </row>
    <row r="28" spans="2:14" x14ac:dyDescent="0.25">
      <c r="B28" s="9" t="s">
        <v>21</v>
      </c>
      <c r="C28" s="7" t="s">
        <v>12</v>
      </c>
      <c r="D28" s="7" t="s">
        <v>10</v>
      </c>
      <c r="E28" s="80">
        <f>I17</f>
        <v>6.4811999999999994</v>
      </c>
      <c r="F28" s="63"/>
      <c r="G28" s="70">
        <f t="shared" si="0"/>
        <v>162303.636264</v>
      </c>
      <c r="H28" s="11" t="s">
        <v>182</v>
      </c>
      <c r="I28" s="51">
        <f t="shared" si="3"/>
        <v>1.08</v>
      </c>
      <c r="J28" s="51" t="s">
        <v>364</v>
      </c>
      <c r="K28" s="89">
        <f t="shared" si="1"/>
        <v>27045.597600000005</v>
      </c>
      <c r="L28" s="99">
        <v>0.9</v>
      </c>
      <c r="M28" s="63">
        <f>L28*1.2</f>
        <v>1.08</v>
      </c>
      <c r="N28" s="7" t="s">
        <v>380</v>
      </c>
    </row>
    <row r="29" spans="2:14" x14ac:dyDescent="0.25">
      <c r="B29" s="9" t="s">
        <v>23</v>
      </c>
      <c r="C29" s="7" t="s">
        <v>13</v>
      </c>
      <c r="D29" s="7" t="s">
        <v>24</v>
      </c>
      <c r="E29" s="80">
        <f>I19</f>
        <v>4.7E-2</v>
      </c>
      <c r="F29" s="63"/>
      <c r="G29" s="70">
        <f t="shared" si="0"/>
        <v>1176.98434</v>
      </c>
      <c r="H29" s="11" t="s">
        <v>183</v>
      </c>
      <c r="I29" s="51">
        <f t="shared" si="3"/>
        <v>2.2200000000000002</v>
      </c>
      <c r="J29" s="51" t="s">
        <v>365</v>
      </c>
      <c r="K29" s="89">
        <f t="shared" si="1"/>
        <v>55593.728400000007</v>
      </c>
      <c r="L29" s="99">
        <v>1.85</v>
      </c>
      <c r="M29" s="63">
        <f>L29*1.2</f>
        <v>2.2200000000000002</v>
      </c>
      <c r="N29" s="7" t="s">
        <v>380</v>
      </c>
    </row>
    <row r="30" spans="2:14" x14ac:dyDescent="0.25">
      <c r="B30" s="2">
        <v>3</v>
      </c>
      <c r="C30" s="3" t="s">
        <v>2</v>
      </c>
      <c r="D30" s="3"/>
      <c r="E30" s="79"/>
      <c r="F30" s="103"/>
      <c r="G30" s="70"/>
      <c r="H30" s="11" t="s">
        <v>34</v>
      </c>
      <c r="I30" s="51">
        <f t="shared" si="3"/>
        <v>2.04</v>
      </c>
      <c r="J30" s="51" t="s">
        <v>364</v>
      </c>
      <c r="K30" s="89">
        <f t="shared" si="1"/>
        <v>51086.128800000006</v>
      </c>
      <c r="L30" s="99">
        <v>1.7</v>
      </c>
      <c r="M30" s="63">
        <f>L30*1.2</f>
        <v>2.04</v>
      </c>
      <c r="N30" s="7" t="s">
        <v>380</v>
      </c>
    </row>
    <row r="31" spans="2:14" x14ac:dyDescent="0.25">
      <c r="B31" s="5">
        <v>3.1</v>
      </c>
      <c r="C31" s="6" t="s">
        <v>25</v>
      </c>
      <c r="D31" s="6"/>
      <c r="E31" s="80"/>
      <c r="F31" s="63"/>
      <c r="G31" s="70"/>
      <c r="H31" s="11" t="s">
        <v>184</v>
      </c>
      <c r="I31" s="51">
        <f t="shared" si="3"/>
        <v>4.62</v>
      </c>
      <c r="J31" s="51" t="s">
        <v>362</v>
      </c>
      <c r="K31" s="89">
        <f t="shared" si="1"/>
        <v>115695.0564</v>
      </c>
      <c r="L31" s="99">
        <v>3.85</v>
      </c>
      <c r="M31" s="63">
        <f>L31*1.2</f>
        <v>4.62</v>
      </c>
      <c r="N31" s="7" t="s">
        <v>380</v>
      </c>
    </row>
    <row r="32" spans="2:14" x14ac:dyDescent="0.25">
      <c r="B32" s="9" t="s">
        <v>28</v>
      </c>
      <c r="C32" s="7" t="s">
        <v>26</v>
      </c>
      <c r="D32" s="7" t="s">
        <v>32</v>
      </c>
      <c r="E32" s="81">
        <f>I27</f>
        <v>2.1176470588235294</v>
      </c>
      <c r="F32" s="91"/>
      <c r="G32" s="70">
        <f t="shared" si="0"/>
        <v>53030.583529411771</v>
      </c>
      <c r="H32" s="11" t="s">
        <v>188</v>
      </c>
      <c r="I32" s="51">
        <f t="shared" si="3"/>
        <v>1.2</v>
      </c>
      <c r="J32" s="51" t="s">
        <v>363</v>
      </c>
      <c r="K32" s="89">
        <f t="shared" si="1"/>
        <v>30050.664000000001</v>
      </c>
      <c r="L32" s="99">
        <v>1</v>
      </c>
      <c r="M32" s="63">
        <f>L32*1.2</f>
        <v>1.2</v>
      </c>
      <c r="N32" s="7" t="s">
        <v>212</v>
      </c>
    </row>
    <row r="33" spans="2:19" x14ac:dyDescent="0.25">
      <c r="B33" s="9" t="s">
        <v>27</v>
      </c>
      <c r="C33" s="7" t="s">
        <v>132</v>
      </c>
      <c r="D33" s="7" t="s">
        <v>33</v>
      </c>
      <c r="E33" s="80">
        <f>I28</f>
        <v>1.08</v>
      </c>
      <c r="F33" s="63"/>
      <c r="G33" s="70">
        <f t="shared" si="0"/>
        <v>27045.597600000005</v>
      </c>
      <c r="H33" s="11" t="s">
        <v>189</v>
      </c>
      <c r="I33" s="51">
        <f t="shared" si="3"/>
        <v>13.5</v>
      </c>
      <c r="J33" s="51" t="s">
        <v>362</v>
      </c>
      <c r="K33" s="89">
        <f>I33*$L$3</f>
        <v>338069.97000000003</v>
      </c>
      <c r="L33" s="99">
        <f>0.003*1*1*7500*0.6</f>
        <v>13.5</v>
      </c>
      <c r="M33" s="63">
        <f>L33</f>
        <v>13.5</v>
      </c>
      <c r="N33" s="19"/>
    </row>
    <row r="34" spans="2:19" ht="15.75" thickBot="1" x14ac:dyDescent="0.3">
      <c r="B34" s="23" t="s">
        <v>70</v>
      </c>
      <c r="C34" s="19" t="s">
        <v>133</v>
      </c>
      <c r="D34" s="19" t="s">
        <v>33</v>
      </c>
      <c r="E34" s="80">
        <f>I29</f>
        <v>2.2200000000000002</v>
      </c>
      <c r="F34" s="63"/>
      <c r="G34" s="70">
        <f t="shared" si="0"/>
        <v>55593.728400000007</v>
      </c>
      <c r="H34" s="11" t="s">
        <v>190</v>
      </c>
      <c r="I34" s="51">
        <f t="shared" si="3"/>
        <v>0.84</v>
      </c>
      <c r="J34" s="51" t="s">
        <v>361</v>
      </c>
      <c r="K34" s="89">
        <f t="shared" si="1"/>
        <v>21035.464800000002</v>
      </c>
      <c r="L34" s="100">
        <f>R44</f>
        <v>0.7</v>
      </c>
      <c r="M34" s="63">
        <f>L34*1.2</f>
        <v>0.84</v>
      </c>
      <c r="N34" s="7" t="s">
        <v>213</v>
      </c>
    </row>
    <row r="35" spans="2:19" x14ac:dyDescent="0.25">
      <c r="B35" s="5">
        <v>3.2</v>
      </c>
      <c r="C35" s="6" t="s">
        <v>29</v>
      </c>
      <c r="D35" s="7"/>
      <c r="E35" s="80"/>
      <c r="F35" s="63"/>
      <c r="G35" s="70"/>
      <c r="H35" s="11" t="s">
        <v>226</v>
      </c>
      <c r="I35" s="51">
        <v>0</v>
      </c>
      <c r="J35" s="69" t="s">
        <v>191</v>
      </c>
      <c r="K35" s="89">
        <f t="shared" si="1"/>
        <v>0</v>
      </c>
      <c r="L35" s="95"/>
      <c r="M35" s="95"/>
      <c r="N35" s="19" t="s">
        <v>227</v>
      </c>
    </row>
    <row r="36" spans="2:19" ht="15.75" thickBot="1" x14ac:dyDescent="0.3">
      <c r="B36" s="9" t="s">
        <v>39</v>
      </c>
      <c r="C36" s="7" t="s">
        <v>34</v>
      </c>
      <c r="D36" s="7" t="s">
        <v>33</v>
      </c>
      <c r="E36" s="80">
        <f>I30</f>
        <v>2.04</v>
      </c>
      <c r="F36" s="63"/>
      <c r="G36" s="70">
        <f t="shared" si="0"/>
        <v>51086.128800000006</v>
      </c>
      <c r="L36" s="63"/>
      <c r="Q36" s="7" t="s">
        <v>221</v>
      </c>
    </row>
    <row r="37" spans="2:19" ht="15.75" thickBot="1" x14ac:dyDescent="0.3">
      <c r="B37" s="9" t="s">
        <v>40</v>
      </c>
      <c r="C37" s="7" t="s">
        <v>157</v>
      </c>
      <c r="D37" s="7" t="s">
        <v>33</v>
      </c>
      <c r="E37" s="80">
        <f>I31</f>
        <v>4.62</v>
      </c>
      <c r="F37" s="63"/>
      <c r="G37" s="70">
        <f t="shared" si="0"/>
        <v>115695.0564</v>
      </c>
      <c r="H37" s="105" t="s">
        <v>171</v>
      </c>
      <c r="K37" s="89"/>
      <c r="L37" s="63"/>
      <c r="Q37" s="29" t="s">
        <v>214</v>
      </c>
      <c r="R37" s="30">
        <v>1.3</v>
      </c>
      <c r="S37" s="56" t="s">
        <v>217</v>
      </c>
    </row>
    <row r="38" spans="2:19" x14ac:dyDescent="0.25">
      <c r="B38" s="9" t="s">
        <v>41</v>
      </c>
      <c r="C38" s="7" t="s">
        <v>30</v>
      </c>
      <c r="D38" s="7" t="s">
        <v>35</v>
      </c>
      <c r="E38" s="80">
        <f>I32</f>
        <v>1.2</v>
      </c>
      <c r="F38" s="63"/>
      <c r="G38" s="70">
        <f t="shared" si="0"/>
        <v>30050.664000000001</v>
      </c>
      <c r="H38" s="11" t="s">
        <v>185</v>
      </c>
      <c r="I38" s="51">
        <f>M38</f>
        <v>50</v>
      </c>
      <c r="J38" s="51" t="s">
        <v>360</v>
      </c>
      <c r="K38" s="89">
        <f>I38*$L$3</f>
        <v>1252111</v>
      </c>
      <c r="L38" s="101">
        <f>300*M21</f>
        <v>31.679999999999996</v>
      </c>
      <c r="M38" s="93">
        <v>50</v>
      </c>
      <c r="N38" s="19" t="s">
        <v>224</v>
      </c>
      <c r="Q38" s="11" t="s">
        <v>215</v>
      </c>
      <c r="R38" s="7">
        <v>2.4</v>
      </c>
      <c r="S38" s="8" t="s">
        <v>217</v>
      </c>
    </row>
    <row r="39" spans="2:19" x14ac:dyDescent="0.25">
      <c r="B39" s="9" t="s">
        <v>43</v>
      </c>
      <c r="C39" s="7" t="s">
        <v>31</v>
      </c>
      <c r="D39" s="7" t="s">
        <v>9</v>
      </c>
      <c r="E39" s="80">
        <f>I38</f>
        <v>50</v>
      </c>
      <c r="F39" s="63"/>
      <c r="G39" s="70">
        <f t="shared" si="0"/>
        <v>1252111</v>
      </c>
      <c r="H39" s="11" t="s">
        <v>186</v>
      </c>
      <c r="I39" s="51">
        <f>M39</f>
        <v>18.72</v>
      </c>
      <c r="J39" s="51" t="s">
        <v>360</v>
      </c>
      <c r="K39" s="89">
        <f>I39*$L$3</f>
        <v>468790.35839999997</v>
      </c>
      <c r="L39" s="99">
        <f>R41*2+10*R44</f>
        <v>15.6</v>
      </c>
      <c r="M39" s="93">
        <f>L39*1.2</f>
        <v>18.72</v>
      </c>
      <c r="N39" s="7" t="s">
        <v>211</v>
      </c>
      <c r="Q39" s="11" t="s">
        <v>216</v>
      </c>
      <c r="R39" s="7">
        <v>4</v>
      </c>
      <c r="S39" s="8" t="s">
        <v>217</v>
      </c>
    </row>
    <row r="40" spans="2:19" ht="15.75" thickBot="1" x14ac:dyDescent="0.3">
      <c r="B40" s="5">
        <v>3.3</v>
      </c>
      <c r="C40" s="6" t="s">
        <v>36</v>
      </c>
      <c r="D40" s="7"/>
      <c r="E40" s="80"/>
      <c r="F40" s="63"/>
      <c r="G40" s="70"/>
      <c r="H40" s="11" t="s">
        <v>187</v>
      </c>
      <c r="I40" s="51">
        <f>M40</f>
        <v>94</v>
      </c>
      <c r="J40" s="51" t="s">
        <v>360</v>
      </c>
      <c r="K40" s="89">
        <f>I40*$L$3</f>
        <v>2353968.6800000002</v>
      </c>
      <c r="L40" s="102">
        <f>R41*16+2*18*R44</f>
        <v>94</v>
      </c>
      <c r="M40" s="96">
        <f>L40</f>
        <v>94</v>
      </c>
      <c r="N40" s="7" t="s">
        <v>210</v>
      </c>
      <c r="Q40" s="57" t="s">
        <v>218</v>
      </c>
      <c r="R40" s="58">
        <v>0.3</v>
      </c>
      <c r="S40" s="15"/>
    </row>
    <row r="41" spans="2:19" ht="15.75" thickBot="1" x14ac:dyDescent="0.3">
      <c r="B41" s="11" t="s">
        <v>44</v>
      </c>
      <c r="C41" s="7" t="s">
        <v>37</v>
      </c>
      <c r="D41" s="7" t="s">
        <v>33</v>
      </c>
      <c r="E41" s="80">
        <f>I33</f>
        <v>13.5</v>
      </c>
      <c r="F41" s="63"/>
      <c r="G41" s="70">
        <f t="shared" si="0"/>
        <v>338069.97000000003</v>
      </c>
      <c r="H41" s="11" t="s">
        <v>359</v>
      </c>
      <c r="L41" s="63"/>
      <c r="Q41" s="59" t="s">
        <v>219</v>
      </c>
      <c r="R41" s="17">
        <f>R39+R40</f>
        <v>4.3</v>
      </c>
      <c r="S41" s="49" t="s">
        <v>220</v>
      </c>
    </row>
    <row r="42" spans="2:19" ht="15.75" thickBot="1" x14ac:dyDescent="0.3">
      <c r="B42" s="23" t="s">
        <v>77</v>
      </c>
      <c r="C42" s="19" t="s">
        <v>136</v>
      </c>
      <c r="D42" s="19" t="s">
        <v>33</v>
      </c>
      <c r="E42" s="80">
        <f>I29</f>
        <v>2.2200000000000002</v>
      </c>
      <c r="F42" s="63"/>
      <c r="G42" s="70">
        <f t="shared" si="0"/>
        <v>55593.728400000007</v>
      </c>
      <c r="H42" s="11" t="s">
        <v>281</v>
      </c>
      <c r="I42" s="51">
        <f>M42</f>
        <v>87.11999999999999</v>
      </c>
      <c r="J42" s="69" t="s">
        <v>360</v>
      </c>
      <c r="L42" s="98">
        <f>2*(R41*6+15*R44)</f>
        <v>72.599999999999994</v>
      </c>
      <c r="M42" s="93">
        <f>L42*1.2</f>
        <v>87.11999999999999</v>
      </c>
      <c r="N42" s="19" t="s">
        <v>372</v>
      </c>
    </row>
    <row r="43" spans="2:19" ht="15.75" thickBot="1" x14ac:dyDescent="0.3">
      <c r="B43" s="23" t="s">
        <v>134</v>
      </c>
      <c r="C43" s="7" t="s">
        <v>135</v>
      </c>
      <c r="D43" s="7" t="s">
        <v>33</v>
      </c>
      <c r="E43" s="80">
        <f>I28</f>
        <v>1.08</v>
      </c>
      <c r="F43" s="63"/>
      <c r="G43" s="70">
        <f t="shared" si="0"/>
        <v>27045.597600000005</v>
      </c>
      <c r="H43" s="11" t="s">
        <v>282</v>
      </c>
      <c r="I43" s="51">
        <f>M43</f>
        <v>24.2</v>
      </c>
      <c r="J43" s="69" t="s">
        <v>360</v>
      </c>
      <c r="L43" s="100">
        <f>2*(R41*2+5*R44)</f>
        <v>24.2</v>
      </c>
      <c r="M43" s="96">
        <f>L43</f>
        <v>24.2</v>
      </c>
      <c r="N43" s="19" t="s">
        <v>373</v>
      </c>
      <c r="Q43" s="60" t="s">
        <v>222</v>
      </c>
      <c r="R43" s="30"/>
      <c r="S43" s="31"/>
    </row>
    <row r="44" spans="2:19" ht="15.75" thickBot="1" x14ac:dyDescent="0.3">
      <c r="B44" s="5">
        <v>3.4</v>
      </c>
      <c r="C44" s="6" t="s">
        <v>45</v>
      </c>
      <c r="D44" s="7"/>
      <c r="E44" s="80"/>
      <c r="F44" s="63"/>
      <c r="G44" s="70"/>
      <c r="Q44" s="57" t="s">
        <v>223</v>
      </c>
      <c r="R44" s="14">
        <v>0.7</v>
      </c>
      <c r="S44" s="15" t="s">
        <v>217</v>
      </c>
    </row>
    <row r="45" spans="2:19" x14ac:dyDescent="0.25">
      <c r="B45" s="11" t="s">
        <v>47</v>
      </c>
      <c r="C45" s="7" t="s">
        <v>38</v>
      </c>
      <c r="D45" s="7" t="s">
        <v>9</v>
      </c>
      <c r="E45" s="80">
        <f>I39</f>
        <v>18.72</v>
      </c>
      <c r="F45" s="63"/>
      <c r="G45" s="70">
        <f t="shared" si="0"/>
        <v>468790.35839999997</v>
      </c>
    </row>
    <row r="46" spans="2:19" ht="15.75" thickBot="1" x14ac:dyDescent="0.3">
      <c r="B46" s="12" t="s">
        <v>48</v>
      </c>
      <c r="C46" s="13" t="s">
        <v>46</v>
      </c>
      <c r="D46" s="14" t="s">
        <v>32</v>
      </c>
      <c r="E46" s="82">
        <f>I34</f>
        <v>0.84</v>
      </c>
      <c r="F46" s="63"/>
      <c r="G46" s="70">
        <f t="shared" si="0"/>
        <v>21035.464800000002</v>
      </c>
    </row>
    <row r="47" spans="2:19" x14ac:dyDescent="0.25">
      <c r="B47" s="7"/>
      <c r="C47" s="22"/>
      <c r="D47" s="7"/>
      <c r="E47" s="63"/>
      <c r="F47" s="63"/>
      <c r="G47" s="70"/>
    </row>
    <row r="48" spans="2:19" x14ac:dyDescent="0.25">
      <c r="B48" s="7"/>
      <c r="C48" s="1" t="s">
        <v>376</v>
      </c>
      <c r="D48" s="7"/>
      <c r="E48" s="63"/>
      <c r="F48" s="63"/>
      <c r="G48" s="70"/>
    </row>
    <row r="49" spans="2:7" ht="15.75" thickBot="1" x14ac:dyDescent="0.3">
      <c r="G49" s="70"/>
    </row>
    <row r="50" spans="2:7" ht="15.75" thickBot="1" x14ac:dyDescent="0.3">
      <c r="B50" s="16" t="s">
        <v>3</v>
      </c>
      <c r="C50" s="17" t="s">
        <v>4</v>
      </c>
      <c r="D50" s="17" t="s">
        <v>5</v>
      </c>
      <c r="E50" s="83" t="s">
        <v>181</v>
      </c>
      <c r="F50" s="63"/>
      <c r="G50" s="70"/>
    </row>
    <row r="51" spans="2:7" x14ac:dyDescent="0.25">
      <c r="B51" s="2">
        <v>1</v>
      </c>
      <c r="C51" s="71" t="s">
        <v>251</v>
      </c>
      <c r="D51" s="3"/>
      <c r="E51" s="79"/>
      <c r="F51" s="103"/>
      <c r="G51" s="70"/>
    </row>
    <row r="52" spans="2:7" x14ac:dyDescent="0.25">
      <c r="B52" s="5">
        <v>1.1000000000000001</v>
      </c>
      <c r="C52" s="6" t="s">
        <v>51</v>
      </c>
      <c r="D52" s="7"/>
      <c r="E52" s="80"/>
      <c r="F52" s="63"/>
      <c r="G52" s="70"/>
    </row>
    <row r="53" spans="2:7" x14ac:dyDescent="0.25">
      <c r="B53" s="9" t="s">
        <v>52</v>
      </c>
      <c r="C53" s="7" t="s">
        <v>54</v>
      </c>
      <c r="D53" s="19" t="s">
        <v>10</v>
      </c>
      <c r="E53" s="80">
        <f>I10</f>
        <v>3.89</v>
      </c>
      <c r="F53" s="63"/>
      <c r="G53" s="70">
        <f>E53*$L$3</f>
        <v>97414.235800000009</v>
      </c>
    </row>
    <row r="54" spans="2:7" x14ac:dyDescent="0.25">
      <c r="B54" s="5">
        <v>1.2</v>
      </c>
      <c r="C54" s="6" t="s">
        <v>170</v>
      </c>
      <c r="D54" s="7"/>
      <c r="E54" s="80"/>
      <c r="F54" s="63"/>
      <c r="G54" s="70"/>
    </row>
    <row r="55" spans="2:7" x14ac:dyDescent="0.25">
      <c r="B55" s="9" t="s">
        <v>53</v>
      </c>
      <c r="C55" s="22" t="s">
        <v>56</v>
      </c>
      <c r="D55" s="7" t="s">
        <v>10</v>
      </c>
      <c r="E55" s="80">
        <f>I10</f>
        <v>3.89</v>
      </c>
      <c r="F55" s="63"/>
      <c r="G55" s="70">
        <f>E55*$L$3</f>
        <v>97414.235800000009</v>
      </c>
    </row>
    <row r="56" spans="2:7" x14ac:dyDescent="0.25">
      <c r="B56" s="2">
        <v>2</v>
      </c>
      <c r="C56" s="3" t="s">
        <v>1</v>
      </c>
      <c r="D56" s="3"/>
      <c r="E56" s="79"/>
      <c r="F56" s="103"/>
      <c r="G56" s="70"/>
    </row>
    <row r="57" spans="2:7" x14ac:dyDescent="0.25">
      <c r="B57" s="5">
        <v>2.1</v>
      </c>
      <c r="C57" s="6" t="s">
        <v>50</v>
      </c>
      <c r="D57" s="7"/>
      <c r="E57" s="80"/>
      <c r="F57" s="63"/>
      <c r="G57" s="70"/>
    </row>
    <row r="58" spans="2:7" x14ac:dyDescent="0.25">
      <c r="B58" s="9" t="s">
        <v>14</v>
      </c>
      <c r="C58" s="7" t="s">
        <v>58</v>
      </c>
      <c r="D58" s="7" t="s">
        <v>33</v>
      </c>
      <c r="E58" s="84">
        <f>I23</f>
        <v>0.74610839319819844</v>
      </c>
      <c r="F58" s="94"/>
      <c r="G58" s="70">
        <f t="shared" ref="G58:G63" si="4">E58*$L$3</f>
        <v>18684.21052631579</v>
      </c>
    </row>
    <row r="59" spans="2:7" x14ac:dyDescent="0.25">
      <c r="B59" s="9" t="s">
        <v>15</v>
      </c>
      <c r="C59" s="7" t="s">
        <v>228</v>
      </c>
      <c r="D59" s="7" t="s">
        <v>24</v>
      </c>
      <c r="E59" s="80">
        <f>I22</f>
        <v>0.21999999999999997</v>
      </c>
      <c r="F59" s="63"/>
      <c r="G59" s="70">
        <f t="shared" si="4"/>
        <v>5509.2883999999995</v>
      </c>
    </row>
    <row r="60" spans="2:7" x14ac:dyDescent="0.25">
      <c r="B60" s="9" t="s">
        <v>61</v>
      </c>
      <c r="C60" s="19" t="s">
        <v>229</v>
      </c>
      <c r="D60" s="19" t="s">
        <v>24</v>
      </c>
      <c r="E60" s="80">
        <f>I22</f>
        <v>0.21999999999999997</v>
      </c>
      <c r="F60" s="63"/>
      <c r="G60" s="70">
        <f t="shared" si="4"/>
        <v>5509.2883999999995</v>
      </c>
    </row>
    <row r="61" spans="2:7" x14ac:dyDescent="0.25">
      <c r="B61" s="9" t="s">
        <v>62</v>
      </c>
      <c r="C61" s="19" t="s">
        <v>195</v>
      </c>
      <c r="D61" s="19" t="s">
        <v>24</v>
      </c>
      <c r="E61" s="80">
        <f>I22</f>
        <v>0.21999999999999997</v>
      </c>
      <c r="F61" s="63"/>
      <c r="G61" s="70">
        <f t="shared" si="4"/>
        <v>5509.2883999999995</v>
      </c>
    </row>
    <row r="62" spans="2:7" x14ac:dyDescent="0.25">
      <c r="B62" s="9" t="s">
        <v>63</v>
      </c>
      <c r="C62" s="19" t="s">
        <v>59</v>
      </c>
      <c r="D62" s="19" t="s">
        <v>10</v>
      </c>
      <c r="E62" s="81">
        <f>I18</f>
        <v>11.227</v>
      </c>
      <c r="F62" s="91"/>
      <c r="G62" s="70">
        <f t="shared" si="4"/>
        <v>281149.00394000002</v>
      </c>
    </row>
    <row r="63" spans="2:7" x14ac:dyDescent="0.25">
      <c r="B63" s="23" t="s">
        <v>127</v>
      </c>
      <c r="C63" s="19" t="s">
        <v>232</v>
      </c>
      <c r="D63" s="19" t="s">
        <v>33</v>
      </c>
      <c r="E63" s="85">
        <f>I24</f>
        <v>0.24099999999999999</v>
      </c>
      <c r="F63" s="97"/>
      <c r="G63" s="70">
        <f t="shared" si="4"/>
        <v>6035.1750199999997</v>
      </c>
    </row>
    <row r="64" spans="2:7" x14ac:dyDescent="0.25">
      <c r="B64" s="5">
        <v>2.2000000000000002</v>
      </c>
      <c r="C64" s="6" t="s">
        <v>60</v>
      </c>
      <c r="D64" s="7"/>
      <c r="E64" s="80"/>
      <c r="F64" s="63"/>
      <c r="G64" s="70"/>
    </row>
    <row r="65" spans="2:7" x14ac:dyDescent="0.25">
      <c r="B65" s="23" t="s">
        <v>18</v>
      </c>
      <c r="C65" s="19" t="s">
        <v>59</v>
      </c>
      <c r="D65" s="19" t="s">
        <v>10</v>
      </c>
      <c r="E65" s="81">
        <f>I18</f>
        <v>11.227</v>
      </c>
      <c r="F65" s="91"/>
      <c r="G65" s="70">
        <f>E65*$L$3</f>
        <v>281149.00394000002</v>
      </c>
    </row>
    <row r="66" spans="2:7" x14ac:dyDescent="0.25">
      <c r="B66" s="23" t="s">
        <v>19</v>
      </c>
      <c r="C66" s="19" t="s">
        <v>13</v>
      </c>
      <c r="D66" s="19" t="s">
        <v>24</v>
      </c>
      <c r="E66" s="81">
        <f>I20</f>
        <v>7.0500000000000007E-2</v>
      </c>
      <c r="F66" s="91"/>
      <c r="G66" s="70">
        <f>E66*$L$3</f>
        <v>1765.4765100000002</v>
      </c>
    </row>
    <row r="67" spans="2:7" x14ac:dyDescent="0.25">
      <c r="B67" s="5">
        <v>2.2999999999999998</v>
      </c>
      <c r="C67" s="24" t="s">
        <v>64</v>
      </c>
      <c r="D67" s="7"/>
      <c r="E67" s="80"/>
      <c r="F67" s="63"/>
      <c r="G67" s="70"/>
    </row>
    <row r="68" spans="2:7" x14ac:dyDescent="0.25">
      <c r="B68" s="23" t="s">
        <v>21</v>
      </c>
      <c r="C68" s="19" t="s">
        <v>65</v>
      </c>
      <c r="D68" s="7" t="s">
        <v>24</v>
      </c>
      <c r="E68" s="80">
        <f>I22</f>
        <v>0.21999999999999997</v>
      </c>
      <c r="F68" s="63"/>
      <c r="G68" s="70">
        <f>E68*$L$3</f>
        <v>5509.2883999999995</v>
      </c>
    </row>
    <row r="69" spans="2:7" x14ac:dyDescent="0.25">
      <c r="B69" s="2">
        <v>3</v>
      </c>
      <c r="C69" s="3" t="s">
        <v>2</v>
      </c>
      <c r="D69" s="3"/>
      <c r="E69" s="79"/>
      <c r="F69" s="103"/>
      <c r="G69" s="70"/>
    </row>
    <row r="70" spans="2:7" x14ac:dyDescent="0.25">
      <c r="B70" s="5">
        <v>3.1</v>
      </c>
      <c r="C70" s="24" t="s">
        <v>66</v>
      </c>
      <c r="D70" s="6"/>
      <c r="E70" s="80"/>
      <c r="F70" s="63"/>
      <c r="G70" s="70"/>
    </row>
    <row r="71" spans="2:7" x14ac:dyDescent="0.25">
      <c r="B71" s="9" t="s">
        <v>28</v>
      </c>
      <c r="C71" s="19" t="s">
        <v>67</v>
      </c>
      <c r="D71" s="7" t="s">
        <v>24</v>
      </c>
      <c r="E71" s="81">
        <f>I26</f>
        <v>0.6</v>
      </c>
      <c r="F71" s="91"/>
      <c r="G71" s="70">
        <f>E71*$L$3</f>
        <v>15025.332</v>
      </c>
    </row>
    <row r="72" spans="2:7" x14ac:dyDescent="0.25">
      <c r="B72" s="21" t="s">
        <v>27</v>
      </c>
      <c r="C72" s="22" t="s">
        <v>68</v>
      </c>
      <c r="D72" s="22" t="s">
        <v>24</v>
      </c>
      <c r="E72" s="81">
        <f>I26</f>
        <v>0.6</v>
      </c>
      <c r="F72" s="91"/>
      <c r="G72" s="70">
        <f>E72*$L$3</f>
        <v>15025.332</v>
      </c>
    </row>
    <row r="73" spans="2:7" x14ac:dyDescent="0.25">
      <c r="B73" s="9" t="s">
        <v>70</v>
      </c>
      <c r="C73" s="19" t="s">
        <v>246</v>
      </c>
      <c r="D73" s="26" t="s">
        <v>24</v>
      </c>
      <c r="E73" s="81">
        <f>I26</f>
        <v>0.6</v>
      </c>
      <c r="F73" s="91"/>
      <c r="G73" s="70">
        <f t="shared" ref="G73:G131" si="5">E73*$L$3</f>
        <v>15025.332</v>
      </c>
    </row>
    <row r="74" spans="2:7" x14ac:dyDescent="0.25">
      <c r="B74" s="23" t="s">
        <v>71</v>
      </c>
      <c r="C74" s="19" t="s">
        <v>72</v>
      </c>
      <c r="D74" s="26" t="s">
        <v>33</v>
      </c>
      <c r="E74" s="80">
        <f>I30</f>
        <v>2.04</v>
      </c>
      <c r="F74" s="63"/>
      <c r="G74" s="70">
        <f t="shared" si="5"/>
        <v>51086.128800000006</v>
      </c>
    </row>
    <row r="75" spans="2:7" x14ac:dyDescent="0.25">
      <c r="B75" s="5">
        <v>3.2</v>
      </c>
      <c r="C75" s="6" t="s">
        <v>73</v>
      </c>
      <c r="D75" s="7"/>
      <c r="E75" s="80"/>
      <c r="F75" s="63"/>
      <c r="G75" s="70"/>
    </row>
    <row r="76" spans="2:7" x14ac:dyDescent="0.25">
      <c r="B76" s="23" t="s">
        <v>39</v>
      </c>
      <c r="C76" s="19" t="s">
        <v>74</v>
      </c>
      <c r="D76" s="19" t="s">
        <v>33</v>
      </c>
      <c r="E76" s="80">
        <f>I28</f>
        <v>1.08</v>
      </c>
      <c r="F76" s="63"/>
      <c r="G76" s="70">
        <f t="shared" si="5"/>
        <v>27045.597600000005</v>
      </c>
    </row>
    <row r="77" spans="2:7" x14ac:dyDescent="0.25">
      <c r="B77" s="5">
        <v>3.3</v>
      </c>
      <c r="C77" s="27" t="s">
        <v>75</v>
      </c>
      <c r="D77" s="28"/>
      <c r="E77" s="80"/>
      <c r="F77" s="63"/>
      <c r="G77" s="70"/>
    </row>
    <row r="78" spans="2:7" x14ac:dyDescent="0.25">
      <c r="B78" s="9" t="s">
        <v>44</v>
      </c>
      <c r="C78" s="7" t="s">
        <v>37</v>
      </c>
      <c r="D78" s="7" t="s">
        <v>33</v>
      </c>
      <c r="E78" s="80">
        <f>I33</f>
        <v>13.5</v>
      </c>
      <c r="F78" s="63"/>
      <c r="G78" s="70">
        <f t="shared" si="5"/>
        <v>338069.97000000003</v>
      </c>
    </row>
    <row r="79" spans="2:7" x14ac:dyDescent="0.25">
      <c r="B79" s="32" t="s">
        <v>77</v>
      </c>
      <c r="C79" s="26" t="s">
        <v>76</v>
      </c>
      <c r="D79" s="26" t="s">
        <v>33</v>
      </c>
      <c r="E79" s="80">
        <f>I30</f>
        <v>2.04</v>
      </c>
      <c r="F79" s="63"/>
      <c r="G79" s="70">
        <f t="shared" si="5"/>
        <v>51086.128800000006</v>
      </c>
    </row>
    <row r="80" spans="2:7" x14ac:dyDescent="0.25">
      <c r="B80" s="5">
        <v>3.4</v>
      </c>
      <c r="C80" s="6" t="s">
        <v>45</v>
      </c>
      <c r="D80" s="7"/>
      <c r="E80" s="80"/>
      <c r="F80" s="63"/>
      <c r="G80" s="70"/>
    </row>
    <row r="81" spans="2:7" x14ac:dyDescent="0.25">
      <c r="B81" s="9" t="s">
        <v>47</v>
      </c>
      <c r="C81" s="7" t="s">
        <v>78</v>
      </c>
      <c r="D81" s="7" t="s">
        <v>9</v>
      </c>
      <c r="E81" s="80">
        <f>I40</f>
        <v>94</v>
      </c>
      <c r="F81" s="63"/>
      <c r="G81" s="70">
        <f t="shared" si="5"/>
        <v>2353968.6800000002</v>
      </c>
    </row>
    <row r="82" spans="2:7" x14ac:dyDescent="0.25">
      <c r="B82" s="9" t="s">
        <v>48</v>
      </c>
      <c r="C82" s="7" t="s">
        <v>79</v>
      </c>
      <c r="D82" s="7" t="s">
        <v>32</v>
      </c>
      <c r="E82" s="80">
        <f>I34</f>
        <v>0.84</v>
      </c>
      <c r="F82" s="63"/>
      <c r="G82" s="70">
        <f t="shared" si="5"/>
        <v>21035.464800000002</v>
      </c>
    </row>
    <row r="83" spans="2:7" x14ac:dyDescent="0.25">
      <c r="B83" s="9" t="s">
        <v>80</v>
      </c>
      <c r="C83" s="7" t="s">
        <v>81</v>
      </c>
      <c r="D83" s="7" t="s">
        <v>32</v>
      </c>
      <c r="E83" s="80">
        <f>I34</f>
        <v>0.84</v>
      </c>
      <c r="F83" s="63"/>
      <c r="G83" s="70">
        <f t="shared" si="5"/>
        <v>21035.464800000002</v>
      </c>
    </row>
    <row r="84" spans="2:7" ht="15.75" thickBot="1" x14ac:dyDescent="0.3">
      <c r="B84" s="62" t="s">
        <v>225</v>
      </c>
      <c r="C84" s="14" t="e">
        <f>#REF!</f>
        <v>#REF!</v>
      </c>
      <c r="D84" s="14" t="e">
        <f>#REF!</f>
        <v>#REF!</v>
      </c>
      <c r="E84" s="82">
        <f>I35</f>
        <v>0</v>
      </c>
      <c r="F84" s="63"/>
      <c r="G84" s="70">
        <f t="shared" si="5"/>
        <v>0</v>
      </c>
    </row>
    <row r="85" spans="2:7" x14ac:dyDescent="0.25">
      <c r="G85" s="70"/>
    </row>
    <row r="86" spans="2:7" x14ac:dyDescent="0.25">
      <c r="C86" s="1" t="s">
        <v>377</v>
      </c>
      <c r="G86" s="70"/>
    </row>
    <row r="87" spans="2:7" ht="15.75" thickBot="1" x14ac:dyDescent="0.3">
      <c r="G87" s="70"/>
    </row>
    <row r="88" spans="2:7" ht="15.75" thickBot="1" x14ac:dyDescent="0.3">
      <c r="B88" s="16" t="s">
        <v>3</v>
      </c>
      <c r="C88" s="17" t="s">
        <v>4</v>
      </c>
      <c r="D88" s="17" t="s">
        <v>5</v>
      </c>
      <c r="E88" s="83" t="s">
        <v>181</v>
      </c>
      <c r="F88" s="63"/>
      <c r="G88" s="70"/>
    </row>
    <row r="89" spans="2:7" x14ac:dyDescent="0.25">
      <c r="B89" s="2">
        <f>'01 Mesanina Andén Alt 2'!B7</f>
        <v>1</v>
      </c>
      <c r="C89" s="3" t="str">
        <f>'01 Mesanina Andén Alt 2'!C7</f>
        <v>Preparación</v>
      </c>
      <c r="D89" s="3"/>
      <c r="E89" s="79"/>
      <c r="F89" s="103"/>
      <c r="G89" s="70"/>
    </row>
    <row r="90" spans="2:7" x14ac:dyDescent="0.25">
      <c r="B90" s="5">
        <f>'01 Mesanina Andén Alt 2'!B8</f>
        <v>1.1000000000000001</v>
      </c>
      <c r="C90" s="6" t="str">
        <f>'01 Mesanina Andén Alt 2'!C8</f>
        <v>Demolicion muro curvo</v>
      </c>
      <c r="D90" s="6"/>
      <c r="E90" s="80"/>
      <c r="F90" s="63"/>
      <c r="G90" s="70"/>
    </row>
    <row r="91" spans="2:7" x14ac:dyDescent="0.25">
      <c r="B91" s="9" t="str">
        <f>'01 Mesanina Andén Alt 2'!B9</f>
        <v>1,1,1</v>
      </c>
      <c r="C91" s="7" t="str">
        <f>'01 Mesanina Andén Alt 2'!C9</f>
        <v>Demolicion</v>
      </c>
      <c r="D91" s="7" t="str">
        <f>'01 Mesanina Andén Alt 2'!D9</f>
        <v>m3</v>
      </c>
      <c r="E91" s="80">
        <f>I10</f>
        <v>3.89</v>
      </c>
      <c r="F91" s="63"/>
      <c r="G91" s="70">
        <f t="shared" si="5"/>
        <v>97414.235800000009</v>
      </c>
    </row>
    <row r="92" spans="2:7" x14ac:dyDescent="0.25">
      <c r="B92" s="5">
        <f>'01 Mesanina Andén Alt 2'!B10</f>
        <v>1.2</v>
      </c>
      <c r="C92" s="6" t="str">
        <f>'01 Mesanina Andén Alt 2'!C10</f>
        <v>Demolicion acceso a pasarela</v>
      </c>
      <c r="D92" s="6"/>
      <c r="E92" s="80"/>
      <c r="F92" s="63"/>
      <c r="G92" s="70"/>
    </row>
    <row r="93" spans="2:7" x14ac:dyDescent="0.25">
      <c r="B93" s="9" t="str">
        <f>'01 Mesanina Andén Alt 2'!B11</f>
        <v>1,2,1</v>
      </c>
      <c r="C93" s="7" t="str">
        <f>'01 Mesanina Andén Alt 2'!C11</f>
        <v>Demolicion</v>
      </c>
      <c r="D93" s="7" t="str">
        <f>'01 Mesanina Andén Alt 2'!D11</f>
        <v>m3</v>
      </c>
      <c r="E93" s="80">
        <f>E91</f>
        <v>3.89</v>
      </c>
      <c r="F93" s="63"/>
      <c r="G93" s="70">
        <f t="shared" si="5"/>
        <v>97414.235800000009</v>
      </c>
    </row>
    <row r="94" spans="2:7" x14ac:dyDescent="0.25">
      <c r="B94" s="5">
        <f>'01 Mesanina Andén Alt 2'!B12</f>
        <v>1.3</v>
      </c>
      <c r="C94" s="6" t="str">
        <f>'01 Mesanina Andén Alt 2'!C12</f>
        <v>Demolición Muro recto por secciones</v>
      </c>
      <c r="D94" s="6"/>
      <c r="E94" s="80"/>
      <c r="F94" s="63"/>
      <c r="G94" s="70"/>
    </row>
    <row r="95" spans="2:7" x14ac:dyDescent="0.25">
      <c r="B95" s="9" t="str">
        <f>'01 Mesanina Andén Alt 2'!B13</f>
        <v>1,3,1</v>
      </c>
      <c r="C95" s="7" t="str">
        <f>'01 Mesanina Andén Alt 2'!C13</f>
        <v>Demolición</v>
      </c>
      <c r="D95" s="7" t="str">
        <f>'01 Mesanina Andén Alt 2'!D13</f>
        <v>m3</v>
      </c>
      <c r="E95" s="80">
        <f>E93</f>
        <v>3.89</v>
      </c>
      <c r="F95" s="63"/>
      <c r="G95" s="70">
        <f t="shared" si="5"/>
        <v>97414.235800000009</v>
      </c>
    </row>
    <row r="96" spans="2:7" x14ac:dyDescent="0.25">
      <c r="B96" s="5">
        <f>'01 Mesanina Andén Alt 2'!B14</f>
        <v>1.4</v>
      </c>
      <c r="C96" s="6" t="str">
        <f>'01 Mesanina Andén Alt 2'!C14</f>
        <v>Excavación del nicho de hormigón</v>
      </c>
      <c r="D96" s="6"/>
      <c r="E96" s="80"/>
      <c r="F96" s="63"/>
      <c r="G96" s="70"/>
    </row>
    <row r="97" spans="2:7" x14ac:dyDescent="0.25">
      <c r="B97" s="9" t="str">
        <f>'01 Mesanina Andén Alt 2'!B15</f>
        <v>1,4,1</v>
      </c>
      <c r="C97" s="7" t="str">
        <f>'01 Mesanina Andén Alt 2'!C15</f>
        <v>Excavación etapa 1</v>
      </c>
      <c r="D97" s="7" t="str">
        <f>'01 Mesanina Andén Alt 2'!D15</f>
        <v>m3</v>
      </c>
      <c r="E97" s="80">
        <f>I12</f>
        <v>5.7112499999999997</v>
      </c>
      <c r="F97" s="63"/>
      <c r="G97" s="70">
        <f t="shared" si="5"/>
        <v>143022.378975</v>
      </c>
    </row>
    <row r="98" spans="2:7" x14ac:dyDescent="0.25">
      <c r="B98" s="9" t="str">
        <f>'01 Mesanina Andén Alt 2'!B16</f>
        <v>1,4,2</v>
      </c>
      <c r="C98" s="7" t="str">
        <f>'01 Mesanina Andén Alt 2'!C16</f>
        <v>Excavación etapa 2</v>
      </c>
      <c r="D98" s="7" t="str">
        <f>'01 Mesanina Andén Alt 2'!D16</f>
        <v>m3</v>
      </c>
      <c r="E98" s="80">
        <f>E97</f>
        <v>5.7112499999999997</v>
      </c>
      <c r="F98" s="63"/>
      <c r="G98" s="70">
        <f t="shared" si="5"/>
        <v>143022.378975</v>
      </c>
    </row>
    <row r="99" spans="2:7" x14ac:dyDescent="0.25">
      <c r="B99" s="9" t="str">
        <f>'01 Mesanina Andén Alt 2'!B17</f>
        <v>1,4,3</v>
      </c>
      <c r="C99" s="7" t="str">
        <f>'01 Mesanina Andén Alt 2'!C17</f>
        <v>Instalación paraguas</v>
      </c>
      <c r="D99" s="7" t="str">
        <f>'01 Mesanina Andén Alt 2'!D17</f>
        <v>ml</v>
      </c>
      <c r="E99" s="80">
        <f>L13</f>
        <v>15.227</v>
      </c>
      <c r="F99" s="63"/>
      <c r="G99" s="70">
        <f t="shared" si="5"/>
        <v>381317.88394000003</v>
      </c>
    </row>
    <row r="100" spans="2:7" x14ac:dyDescent="0.25">
      <c r="B100" s="2">
        <f>'01 Mesanina Andén Alt 2'!B18</f>
        <v>2</v>
      </c>
      <c r="C100" s="3" t="str">
        <f>'01 Mesanina Andén Alt 2'!C18</f>
        <v>Obra Civil</v>
      </c>
      <c r="D100" s="3"/>
      <c r="E100" s="79"/>
      <c r="F100" s="103"/>
      <c r="G100" s="70">
        <f t="shared" si="5"/>
        <v>0</v>
      </c>
    </row>
    <row r="101" spans="2:7" x14ac:dyDescent="0.25">
      <c r="B101" s="5">
        <f>'01 Mesanina Andén Alt 2'!B19</f>
        <v>2.1</v>
      </c>
      <c r="C101" s="6" t="str">
        <f>'01 Mesanina Andén Alt 2'!C19</f>
        <v>Nicho de hormigon</v>
      </c>
      <c r="D101" s="6"/>
      <c r="E101" s="80"/>
      <c r="F101" s="63"/>
      <c r="G101" s="70"/>
    </row>
    <row r="102" spans="2:7" x14ac:dyDescent="0.25">
      <c r="B102" s="9" t="str">
        <f>'01 Mesanina Andén Alt 2'!B20</f>
        <v>2,1,1</v>
      </c>
      <c r="C102" s="7" t="str">
        <f>'01 Mesanina Andén Alt 2'!C20</f>
        <v>Hormigón Muros</v>
      </c>
      <c r="D102" s="7" t="str">
        <f>'01 Mesanina Andén Alt 2'!D20</f>
        <v>m3</v>
      </c>
      <c r="E102" s="80">
        <f>I18</f>
        <v>11.227</v>
      </c>
      <c r="F102" s="63"/>
      <c r="G102" s="70">
        <f t="shared" si="5"/>
        <v>281149.00394000002</v>
      </c>
    </row>
    <row r="103" spans="2:7" x14ac:dyDescent="0.25">
      <c r="B103" s="9" t="str">
        <f>'01 Mesanina Andén Alt 2'!B21</f>
        <v>2,1,2</v>
      </c>
      <c r="C103" s="7" t="str">
        <f>'01 Mesanina Andén Alt 2'!C21</f>
        <v>Hormigón Losas</v>
      </c>
      <c r="D103" s="7" t="str">
        <f>'01 Mesanina Andén Alt 2'!D21</f>
        <v>m3</v>
      </c>
      <c r="E103" s="80">
        <f>I18</f>
        <v>11.227</v>
      </c>
      <c r="F103" s="63"/>
      <c r="G103" s="70">
        <f t="shared" si="5"/>
        <v>281149.00394000002</v>
      </c>
    </row>
    <row r="104" spans="2:7" x14ac:dyDescent="0.25">
      <c r="B104" s="9" t="str">
        <f>'01 Mesanina Andén Alt 2'!B22</f>
        <v>2,1,3</v>
      </c>
      <c r="C104" s="7" t="str">
        <f>'01 Mesanina Andén Alt 2'!C22</f>
        <v>Armaduras</v>
      </c>
      <c r="D104" s="7" t="str">
        <f>'01 Mesanina Andén Alt 2'!D22</f>
        <v>kg</v>
      </c>
      <c r="E104" s="80">
        <f>I20</f>
        <v>7.0500000000000007E-2</v>
      </c>
      <c r="F104" s="63"/>
      <c r="G104" s="70">
        <f t="shared" si="5"/>
        <v>1765.4765100000002</v>
      </c>
    </row>
    <row r="105" spans="2:7" x14ac:dyDescent="0.25">
      <c r="B105" s="5">
        <f>'01 Mesanina Andén Alt 2'!B23</f>
        <v>2.2000000000000002</v>
      </c>
      <c r="C105" s="6" t="str">
        <f>'01 Mesanina Andén Alt 2'!C23</f>
        <v>Pasarela 1</v>
      </c>
      <c r="D105" s="6"/>
      <c r="E105" s="80"/>
      <c r="F105" s="63"/>
      <c r="G105" s="70"/>
    </row>
    <row r="106" spans="2:7" x14ac:dyDescent="0.25">
      <c r="B106" s="9" t="str">
        <f>'01 Mesanina Andén Alt 2'!B24</f>
        <v>2,2,1</v>
      </c>
      <c r="C106" s="7" t="str">
        <f>'01 Mesanina Andén Alt 2'!C24</f>
        <v>Placa colaborante Instadeck</v>
      </c>
      <c r="D106" s="7" t="str">
        <f>'01 Mesanina Andén Alt 2'!D24</f>
        <v>m2</v>
      </c>
      <c r="E106" s="84">
        <f t="shared" ref="E106:E111" si="6">E58</f>
        <v>0.74610839319819844</v>
      </c>
      <c r="F106" s="94"/>
      <c r="G106" s="70">
        <f t="shared" si="5"/>
        <v>18684.21052631579</v>
      </c>
    </row>
    <row r="107" spans="2:7" x14ac:dyDescent="0.25">
      <c r="B107" s="9" t="str">
        <f>'01 Mesanina Andén Alt 2'!B25</f>
        <v>2,2,2</v>
      </c>
      <c r="C107" s="7" t="str">
        <f>'01 Mesanina Andén Alt 2'!C25</f>
        <v>Perfil de borde 25x15x30,1</v>
      </c>
      <c r="D107" s="7" t="str">
        <f>'01 Mesanina Andén Alt 2'!D25</f>
        <v>kg</v>
      </c>
      <c r="E107" s="80">
        <f t="shared" si="6"/>
        <v>0.21999999999999997</v>
      </c>
      <c r="F107" s="63"/>
      <c r="G107" s="70">
        <f t="shared" si="5"/>
        <v>5509.2883999999995</v>
      </c>
    </row>
    <row r="108" spans="2:7" x14ac:dyDescent="0.25">
      <c r="B108" s="9" t="str">
        <f>'01 Mesanina Andén Alt 2'!B26</f>
        <v>2,2,3</v>
      </c>
      <c r="C108" s="7" t="str">
        <f>'01 Mesanina Andén Alt 2'!C26</f>
        <v>Perfil Apoyo IN 25x46,6</v>
      </c>
      <c r="D108" s="7" t="str">
        <f>'01 Mesanina Andén Alt 2'!D26</f>
        <v>kg</v>
      </c>
      <c r="E108" s="80">
        <f t="shared" si="6"/>
        <v>0.21999999999999997</v>
      </c>
      <c r="F108" s="63"/>
      <c r="G108" s="70">
        <f t="shared" si="5"/>
        <v>5509.2883999999995</v>
      </c>
    </row>
    <row r="109" spans="2:7" x14ac:dyDescent="0.25">
      <c r="B109" s="9" t="str">
        <f>'01 Mesanina Andén Alt 2'!B27</f>
        <v>2,2,4</v>
      </c>
      <c r="C109" s="7" t="str">
        <f>'01 Mesanina Andén Alt 2'!C27</f>
        <v>Tirante 6cm</v>
      </c>
      <c r="D109" s="7" t="str">
        <f>'01 Mesanina Andén Alt 2'!D27</f>
        <v>kg</v>
      </c>
      <c r="E109" s="80">
        <f t="shared" si="6"/>
        <v>0.21999999999999997</v>
      </c>
      <c r="F109" s="63"/>
      <c r="G109" s="70">
        <f t="shared" si="5"/>
        <v>5509.2883999999995</v>
      </c>
    </row>
    <row r="110" spans="2:7" x14ac:dyDescent="0.25">
      <c r="B110" s="9" t="str">
        <f>'01 Mesanina Andén Alt 2'!B28</f>
        <v>2,2,5</v>
      </c>
      <c r="C110" s="7" t="str">
        <f>'01 Mesanina Andén Alt 2'!C28</f>
        <v>Hormigón H30</v>
      </c>
      <c r="D110" s="7" t="str">
        <f>'01 Mesanina Andén Alt 2'!D28</f>
        <v>m3</v>
      </c>
      <c r="E110" s="80">
        <f t="shared" si="6"/>
        <v>11.227</v>
      </c>
      <c r="F110" s="63"/>
      <c r="G110" s="70">
        <f t="shared" si="5"/>
        <v>281149.00394000002</v>
      </c>
    </row>
    <row r="111" spans="2:7" x14ac:dyDescent="0.25">
      <c r="B111" s="9" t="str">
        <f>'01 Mesanina Andén Alt 2'!B29</f>
        <v>2,2,6</v>
      </c>
      <c r="C111" s="7" t="str">
        <f>'01 Mesanina Andén Alt 2'!C29</f>
        <v>Malla electrosoldada de retracción</v>
      </c>
      <c r="D111" s="7" t="str">
        <f>'01 Mesanina Andén Alt 2'!D29</f>
        <v>m2</v>
      </c>
      <c r="E111" s="80">
        <f t="shared" si="6"/>
        <v>0.24099999999999999</v>
      </c>
      <c r="F111" s="63"/>
      <c r="G111" s="70">
        <f t="shared" si="5"/>
        <v>6035.1750199999997</v>
      </c>
    </row>
    <row r="112" spans="2:7" x14ac:dyDescent="0.25">
      <c r="B112" s="5">
        <f>'01 Mesanina Andén Alt 2'!B30</f>
        <v>2.2999999999999998</v>
      </c>
      <c r="C112" s="6" t="str">
        <f>'01 Mesanina Andén Alt 2'!C30</f>
        <v>Pasarela 2</v>
      </c>
      <c r="D112" s="6"/>
      <c r="E112" s="80"/>
      <c r="F112" s="63"/>
      <c r="G112" s="70"/>
    </row>
    <row r="113" spans="2:7" x14ac:dyDescent="0.25">
      <c r="B113" s="9" t="str">
        <f>'01 Mesanina Andén Alt 2'!B31</f>
        <v>2,3,1</v>
      </c>
      <c r="C113" s="7" t="str">
        <f>'01 Mesanina Andén Alt 2'!C31</f>
        <v>Placa colaborante Instadeck</v>
      </c>
      <c r="D113" s="7" t="str">
        <f>'01 Mesanina Andén Alt 2'!D31</f>
        <v>m2</v>
      </c>
      <c r="E113" s="84">
        <f t="shared" ref="E113:E118" si="7">E106</f>
        <v>0.74610839319819844</v>
      </c>
      <c r="F113" s="94"/>
      <c r="G113" s="70">
        <f t="shared" si="5"/>
        <v>18684.21052631579</v>
      </c>
    </row>
    <row r="114" spans="2:7" x14ac:dyDescent="0.25">
      <c r="B114" s="9" t="str">
        <f>'01 Mesanina Andén Alt 2'!B32</f>
        <v>2,3,2</v>
      </c>
      <c r="C114" s="7" t="str">
        <f>'01 Mesanina Andén Alt 2'!C32</f>
        <v>Perfil de borde 25x15x30,1</v>
      </c>
      <c r="D114" s="7" t="str">
        <f>'01 Mesanina Andén Alt 2'!D32</f>
        <v>kg</v>
      </c>
      <c r="E114" s="84">
        <f t="shared" si="7"/>
        <v>0.21999999999999997</v>
      </c>
      <c r="F114" s="94"/>
      <c r="G114" s="70">
        <f t="shared" si="5"/>
        <v>5509.2883999999995</v>
      </c>
    </row>
    <row r="115" spans="2:7" x14ac:dyDescent="0.25">
      <c r="B115" s="9" t="str">
        <f>'01 Mesanina Andén Alt 2'!B33</f>
        <v>2,3,3</v>
      </c>
      <c r="C115" s="7" t="str">
        <f>'01 Mesanina Andén Alt 2'!C33</f>
        <v>Perfil Apoyo IN 25x46,6</v>
      </c>
      <c r="D115" s="7" t="str">
        <f>'01 Mesanina Andén Alt 2'!D33</f>
        <v>kg</v>
      </c>
      <c r="E115" s="84">
        <f t="shared" si="7"/>
        <v>0.21999999999999997</v>
      </c>
      <c r="F115" s="94"/>
      <c r="G115" s="70">
        <f t="shared" si="5"/>
        <v>5509.2883999999995</v>
      </c>
    </row>
    <row r="116" spans="2:7" x14ac:dyDescent="0.25">
      <c r="B116" s="9" t="str">
        <f>'01 Mesanina Andén Alt 2'!B34</f>
        <v>2,3,4</v>
      </c>
      <c r="C116" s="7" t="str">
        <f>'01 Mesanina Andén Alt 2'!C34</f>
        <v>Tirante 6cm</v>
      </c>
      <c r="D116" s="7" t="str">
        <f>'01 Mesanina Andén Alt 2'!D34</f>
        <v>kg</v>
      </c>
      <c r="E116" s="84">
        <f t="shared" si="7"/>
        <v>0.21999999999999997</v>
      </c>
      <c r="F116" s="94"/>
      <c r="G116" s="70">
        <f t="shared" si="5"/>
        <v>5509.2883999999995</v>
      </c>
    </row>
    <row r="117" spans="2:7" x14ac:dyDescent="0.25">
      <c r="B117" s="9" t="str">
        <f>'01 Mesanina Andén Alt 2'!B35</f>
        <v>2,3,5</v>
      </c>
      <c r="C117" s="7" t="str">
        <f>'01 Mesanina Andén Alt 2'!C35</f>
        <v>Hormigón H30</v>
      </c>
      <c r="D117" s="7" t="str">
        <f>'01 Mesanina Andén Alt 2'!D35</f>
        <v>m3</v>
      </c>
      <c r="E117" s="84">
        <f t="shared" si="7"/>
        <v>11.227</v>
      </c>
      <c r="F117" s="94"/>
      <c r="G117" s="70">
        <f t="shared" si="5"/>
        <v>281149.00394000002</v>
      </c>
    </row>
    <row r="118" spans="2:7" x14ac:dyDescent="0.25">
      <c r="B118" s="9" t="str">
        <f>'01 Mesanina Andén Alt 2'!B36</f>
        <v>2,3,6</v>
      </c>
      <c r="C118" s="7" t="str">
        <f>'01 Mesanina Andén Alt 2'!C36</f>
        <v>Malla electrosoldada de retracción</v>
      </c>
      <c r="D118" s="7" t="str">
        <f>'01 Mesanina Andén Alt 2'!D36</f>
        <v>m2</v>
      </c>
      <c r="E118" s="84">
        <f t="shared" si="7"/>
        <v>0.24099999999999999</v>
      </c>
      <c r="F118" s="94"/>
      <c r="G118" s="70">
        <f t="shared" si="5"/>
        <v>6035.1750199999997</v>
      </c>
    </row>
    <row r="119" spans="2:7" x14ac:dyDescent="0.25">
      <c r="B119" s="2">
        <f>'01 Mesanina Andén Alt 2'!B37</f>
        <v>3</v>
      </c>
      <c r="C119" s="3" t="str">
        <f>'01 Mesanina Andén Alt 2'!C37</f>
        <v>terminaciones</v>
      </c>
      <c r="D119" s="3"/>
      <c r="E119" s="79"/>
      <c r="F119" s="103"/>
      <c r="G119" s="70">
        <f t="shared" si="5"/>
        <v>0</v>
      </c>
    </row>
    <row r="120" spans="2:7" x14ac:dyDescent="0.25">
      <c r="B120" s="5">
        <f>'01 Mesanina Andén Alt 2'!B38</f>
        <v>3.1</v>
      </c>
      <c r="C120" s="6" t="str">
        <f>'01 Mesanina Andén Alt 2'!C38</f>
        <v>Terminaciones pasarela</v>
      </c>
      <c r="D120" s="6"/>
      <c r="E120" s="80"/>
      <c r="F120" s="63"/>
      <c r="G120" s="70"/>
    </row>
    <row r="121" spans="2:7" x14ac:dyDescent="0.25">
      <c r="B121" s="9" t="str">
        <f>'01 Mesanina Andén Alt 2'!B39</f>
        <v>3,1,1</v>
      </c>
      <c r="C121" s="7" t="str">
        <f>'01 Mesanina Andén Alt 2'!C39</f>
        <v>Perfiles de Apoyo baranda 60x40x4</v>
      </c>
      <c r="D121" s="7" t="str">
        <f>'01 Mesanina Andén Alt 2'!D39</f>
        <v>kg</v>
      </c>
      <c r="E121" s="81">
        <f>I26</f>
        <v>0.6</v>
      </c>
      <c r="F121" s="91"/>
      <c r="G121" s="70">
        <f t="shared" si="5"/>
        <v>15025.332</v>
      </c>
    </row>
    <row r="122" spans="2:7" x14ac:dyDescent="0.25">
      <c r="B122" s="9" t="str">
        <f>'01 Mesanina Andén Alt 2'!B40</f>
        <v>3,1,2</v>
      </c>
      <c r="C122" s="7" t="str">
        <f>'01 Mesanina Andén Alt 2'!C40</f>
        <v>Baranda 6cm</v>
      </c>
      <c r="D122" s="7" t="str">
        <f>'01 Mesanina Andén Alt 2'!D40</f>
        <v>kg</v>
      </c>
      <c r="E122" s="81">
        <f>E121</f>
        <v>0.6</v>
      </c>
      <c r="F122" s="91"/>
      <c r="G122" s="70">
        <f t="shared" si="5"/>
        <v>15025.332</v>
      </c>
    </row>
    <row r="123" spans="2:7" x14ac:dyDescent="0.25">
      <c r="B123" s="9" t="str">
        <f>'01 Mesanina Andén Alt 2'!B41</f>
        <v>3,1,3</v>
      </c>
      <c r="C123" s="7" t="str">
        <f>'01 Mesanina Andén Alt 2'!C41</f>
        <v>Ptos de apoyo f10mm</v>
      </c>
      <c r="D123" s="7" t="str">
        <f>'01 Mesanina Andén Alt 2'!D41</f>
        <v>kg</v>
      </c>
      <c r="E123" s="81">
        <f>E122</f>
        <v>0.6</v>
      </c>
      <c r="F123" s="91"/>
      <c r="G123" s="70">
        <f t="shared" si="5"/>
        <v>15025.332</v>
      </c>
    </row>
    <row r="124" spans="2:7" x14ac:dyDescent="0.25">
      <c r="B124" s="9" t="str">
        <f>'01 Mesanina Andén Alt 2'!B42</f>
        <v>3,1,4</v>
      </c>
      <c r="C124" s="7" t="str">
        <f>'01 Mesanina Andén Alt 2'!C42</f>
        <v>Vidrio templado laminado</v>
      </c>
      <c r="D124" s="7" t="str">
        <f>'01 Mesanina Andén Alt 2'!D42</f>
        <v>m2</v>
      </c>
      <c r="E124" s="80">
        <f>I30</f>
        <v>2.04</v>
      </c>
      <c r="F124" s="63"/>
      <c r="G124" s="70">
        <f t="shared" si="5"/>
        <v>51086.128800000006</v>
      </c>
    </row>
    <row r="125" spans="2:7" x14ac:dyDescent="0.25">
      <c r="B125" s="9" t="str">
        <f>'01 Mesanina Andén Alt 2'!B43</f>
        <v>3,1,5</v>
      </c>
      <c r="C125" s="7" t="str">
        <f>'01 Mesanina Andén Alt 2'!C43</f>
        <v>Baldosas similar a metro</v>
      </c>
      <c r="D125" s="7" t="str">
        <f>'01 Mesanina Andén Alt 2'!D43</f>
        <v>m2</v>
      </c>
      <c r="E125" s="80">
        <f>I28</f>
        <v>1.08</v>
      </c>
      <c r="F125" s="63"/>
      <c r="G125" s="70">
        <f t="shared" si="5"/>
        <v>27045.597600000005</v>
      </c>
    </row>
    <row r="126" spans="2:7" x14ac:dyDescent="0.25">
      <c r="B126" s="5">
        <f>'01 Mesanina Andén Alt 2'!B44</f>
        <v>3.2</v>
      </c>
      <c r="C126" s="6" t="str">
        <f>'01 Mesanina Andén Alt 2'!C44</f>
        <v>Terminaciones nicho de hormigón</v>
      </c>
      <c r="D126" s="6"/>
      <c r="E126" s="80"/>
      <c r="F126" s="63"/>
      <c r="G126" s="70"/>
    </row>
    <row r="127" spans="2:7" x14ac:dyDescent="0.25">
      <c r="B127" s="9" t="str">
        <f>'01 Mesanina Andén Alt 2'!B45</f>
        <v>3,2,1</v>
      </c>
      <c r="C127" s="7" t="str">
        <f>'01 Mesanina Andén Alt 2'!C45</f>
        <v>Baldosín pisos modificación Losa</v>
      </c>
      <c r="D127" s="7" t="str">
        <f>'01 Mesanina Andén Alt 2'!D45</f>
        <v>m2</v>
      </c>
      <c r="E127" s="80">
        <f>E125</f>
        <v>1.08</v>
      </c>
      <c r="F127" s="63"/>
      <c r="G127" s="70">
        <f t="shared" si="5"/>
        <v>27045.597600000005</v>
      </c>
    </row>
    <row r="128" spans="2:7" x14ac:dyDescent="0.25">
      <c r="B128" s="9" t="str">
        <f>'01 Mesanina Andén Alt 2'!B46</f>
        <v>3,2,2</v>
      </c>
      <c r="C128" s="7" t="str">
        <f>'01 Mesanina Andén Alt 2'!C46</f>
        <v>Mosaicos en muros nicho</v>
      </c>
      <c r="D128" s="7" t="str">
        <f>'01 Mesanina Andén Alt 2'!D46</f>
        <v>m2</v>
      </c>
      <c r="E128" s="80">
        <f>I29</f>
        <v>2.2200000000000002</v>
      </c>
      <c r="F128" s="63"/>
      <c r="G128" s="70">
        <f t="shared" si="5"/>
        <v>55593.728400000007</v>
      </c>
    </row>
    <row r="129" spans="2:7" x14ac:dyDescent="0.25">
      <c r="B129" s="5">
        <f>'01 Mesanina Andén Alt 2'!B47</f>
        <v>3.3</v>
      </c>
      <c r="C129" s="6" t="str">
        <f>'01 Mesanina Andén Alt 2'!C47</f>
        <v>Terminaciones eléctricas</v>
      </c>
      <c r="D129" s="6"/>
      <c r="E129" s="80"/>
      <c r="F129" s="63"/>
      <c r="G129" s="70"/>
    </row>
    <row r="130" spans="2:7" x14ac:dyDescent="0.25">
      <c r="B130" s="9" t="str">
        <f>'01 Mesanina Andén Alt 2'!B48</f>
        <v>3,3,1</v>
      </c>
      <c r="C130" s="7" t="str">
        <f>'01 Mesanina Andén Alt 2'!C48</f>
        <v>Iluminación bajo  pasarela</v>
      </c>
      <c r="D130" s="7" t="str">
        <f>'01 Mesanina Andén Alt 2'!D48</f>
        <v>gl</v>
      </c>
      <c r="E130" s="80">
        <f>I42</f>
        <v>87.11999999999999</v>
      </c>
      <c r="F130" s="63"/>
      <c r="G130" s="70">
        <f t="shared" si="5"/>
        <v>2181678.2064</v>
      </c>
    </row>
    <row r="131" spans="2:7" ht="15.75" thickBot="1" x14ac:dyDescent="0.3">
      <c r="B131" s="25" t="str">
        <f>'01 Mesanina Andén Alt 2'!B49</f>
        <v>3,3,2</v>
      </c>
      <c r="C131" s="14" t="str">
        <f>'01 Mesanina Andén Alt 2'!C49</f>
        <v>Iluminacion nicho</v>
      </c>
      <c r="D131" s="14" t="str">
        <f>'01 Mesanina Andén Alt 2'!D49</f>
        <v>gl</v>
      </c>
      <c r="E131" s="82">
        <f>I43</f>
        <v>24.2</v>
      </c>
      <c r="F131" s="63"/>
      <c r="G131" s="70">
        <f t="shared" si="5"/>
        <v>606021.72400000005</v>
      </c>
    </row>
    <row r="133" spans="2:7" x14ac:dyDescent="0.25">
      <c r="B133" s="1"/>
      <c r="C133" s="1"/>
      <c r="D133" s="1"/>
    </row>
    <row r="134" spans="2:7" x14ac:dyDescent="0.25">
      <c r="B134" s="1"/>
      <c r="C134" s="1"/>
      <c r="D134" s="1"/>
    </row>
    <row r="135" spans="2:7" x14ac:dyDescent="0.25">
      <c r="B135" s="1"/>
      <c r="C135" s="1"/>
      <c r="D135" s="1"/>
    </row>
    <row r="136" spans="2:7" x14ac:dyDescent="0.25">
      <c r="B136" s="1"/>
      <c r="C136" s="1"/>
      <c r="D136" s="1"/>
    </row>
    <row r="137" spans="2:7" x14ac:dyDescent="0.25">
      <c r="B137" s="1"/>
      <c r="C137" s="1"/>
      <c r="D137" s="1"/>
    </row>
    <row r="138" spans="2:7" x14ac:dyDescent="0.25">
      <c r="B138" s="1"/>
      <c r="C138" s="1"/>
      <c r="D138" s="1"/>
    </row>
    <row r="139" spans="2:7" x14ac:dyDescent="0.25">
      <c r="B139" s="1"/>
      <c r="C139" s="1"/>
      <c r="D139" s="1"/>
    </row>
    <row r="140" spans="2:7" x14ac:dyDescent="0.25">
      <c r="B140" s="1"/>
      <c r="C140" s="1"/>
      <c r="D140" s="1"/>
    </row>
    <row r="141" spans="2:7" x14ac:dyDescent="0.25">
      <c r="B141" s="1"/>
      <c r="C141" s="1"/>
      <c r="D141" s="1"/>
    </row>
    <row r="142" spans="2:7" x14ac:dyDescent="0.25">
      <c r="B142" s="1"/>
      <c r="C142" s="1"/>
      <c r="D142" s="1"/>
    </row>
    <row r="143" spans="2:7" x14ac:dyDescent="0.25">
      <c r="B143" s="1"/>
      <c r="C143" s="1"/>
      <c r="D143" s="1"/>
    </row>
    <row r="144" spans="2:7" x14ac:dyDescent="0.25">
      <c r="B144" s="1"/>
      <c r="C144" s="1"/>
      <c r="D144" s="1"/>
    </row>
    <row r="145" spans="2:4" x14ac:dyDescent="0.25">
      <c r="B145" s="1"/>
      <c r="C145" s="1"/>
      <c r="D145" s="1"/>
    </row>
    <row r="146" spans="2:4" x14ac:dyDescent="0.25">
      <c r="B146" s="1"/>
      <c r="C146" s="1"/>
      <c r="D146" s="1"/>
    </row>
    <row r="147" spans="2:4" x14ac:dyDescent="0.25">
      <c r="B147" s="1"/>
      <c r="C147" s="1"/>
      <c r="D147" s="1"/>
    </row>
    <row r="148" spans="2:4" x14ac:dyDescent="0.25">
      <c r="B148" s="1"/>
      <c r="C148" s="1"/>
      <c r="D148" s="1"/>
    </row>
    <row r="149" spans="2:4" x14ac:dyDescent="0.25">
      <c r="B149" s="1"/>
      <c r="C149" s="1"/>
      <c r="D149" s="1"/>
    </row>
    <row r="150" spans="2:4" x14ac:dyDescent="0.25">
      <c r="B150" s="1"/>
      <c r="C150" s="1"/>
      <c r="D150" s="1"/>
    </row>
    <row r="151" spans="2:4" x14ac:dyDescent="0.25">
      <c r="B151" s="1"/>
      <c r="C151" s="1"/>
      <c r="D151" s="1"/>
    </row>
    <row r="152" spans="2:4" x14ac:dyDescent="0.25">
      <c r="B152" s="1"/>
      <c r="C152" s="1"/>
      <c r="D152" s="1"/>
    </row>
    <row r="153" spans="2:4" x14ac:dyDescent="0.25">
      <c r="B153" s="1"/>
      <c r="C153" s="1"/>
      <c r="D153" s="1"/>
    </row>
    <row r="154" spans="2:4" x14ac:dyDescent="0.25">
      <c r="B154" s="1"/>
      <c r="C154" s="1"/>
      <c r="D154" s="1"/>
    </row>
    <row r="155" spans="2:4" x14ac:dyDescent="0.25">
      <c r="B155" s="1"/>
      <c r="C155" s="1"/>
      <c r="D155" s="1"/>
    </row>
    <row r="156" spans="2:4" x14ac:dyDescent="0.25">
      <c r="B156" s="1"/>
      <c r="C156" s="1"/>
      <c r="D156" s="1"/>
    </row>
    <row r="157" spans="2:4" x14ac:dyDescent="0.25">
      <c r="B157" s="1"/>
      <c r="C157" s="1"/>
      <c r="D157" s="1"/>
    </row>
    <row r="158" spans="2:4" x14ac:dyDescent="0.25">
      <c r="B158" s="1"/>
      <c r="C158" s="1"/>
      <c r="D158" s="1"/>
    </row>
    <row r="159" spans="2:4" x14ac:dyDescent="0.25">
      <c r="B159" s="1"/>
      <c r="C159" s="1"/>
      <c r="D159" s="1"/>
    </row>
    <row r="160" spans="2:4" x14ac:dyDescent="0.25">
      <c r="B160" s="1"/>
      <c r="C160" s="1"/>
      <c r="D160" s="1"/>
    </row>
    <row r="161" spans="2:4" x14ac:dyDescent="0.25">
      <c r="B161" s="1"/>
      <c r="C161" s="1"/>
      <c r="D161" s="1"/>
    </row>
    <row r="162" spans="2:4" x14ac:dyDescent="0.25">
      <c r="B162" s="1"/>
      <c r="C162" s="1"/>
      <c r="D162" s="1"/>
    </row>
    <row r="163" spans="2:4" x14ac:dyDescent="0.25">
      <c r="B163" s="1"/>
      <c r="C163" s="1"/>
      <c r="D163" s="1"/>
    </row>
    <row r="164" spans="2:4" x14ac:dyDescent="0.25">
      <c r="B164" s="1"/>
      <c r="C164" s="1"/>
      <c r="D164" s="1"/>
    </row>
    <row r="165" spans="2:4" x14ac:dyDescent="0.25">
      <c r="B165" s="1"/>
      <c r="C165" s="1"/>
      <c r="D165" s="1"/>
    </row>
    <row r="166" spans="2:4" x14ac:dyDescent="0.25">
      <c r="B166" s="1"/>
      <c r="C166" s="1"/>
      <c r="D166" s="1"/>
    </row>
    <row r="167" spans="2:4" x14ac:dyDescent="0.25">
      <c r="B167" s="1"/>
      <c r="C167" s="1"/>
      <c r="D167" s="1"/>
    </row>
    <row r="168" spans="2:4" x14ac:dyDescent="0.25">
      <c r="B168" s="1"/>
      <c r="C168" s="1"/>
      <c r="D168" s="1"/>
    </row>
    <row r="169" spans="2:4" x14ac:dyDescent="0.25">
      <c r="B169" s="1"/>
      <c r="C169" s="1"/>
      <c r="D169" s="1"/>
    </row>
    <row r="170" spans="2:4" x14ac:dyDescent="0.25">
      <c r="B170" s="1"/>
      <c r="C170" s="1"/>
      <c r="D170" s="1"/>
    </row>
    <row r="171" spans="2:4" x14ac:dyDescent="0.25">
      <c r="B171" s="1"/>
      <c r="C171" s="1"/>
      <c r="D171" s="1"/>
    </row>
    <row r="172" spans="2:4" x14ac:dyDescent="0.25">
      <c r="B172" s="1"/>
      <c r="C172" s="1"/>
      <c r="D172" s="1"/>
    </row>
    <row r="173" spans="2:4" x14ac:dyDescent="0.25">
      <c r="B173" s="1"/>
      <c r="C173" s="1"/>
      <c r="D173" s="1"/>
    </row>
    <row r="174" spans="2:4" x14ac:dyDescent="0.25">
      <c r="B174" s="1"/>
      <c r="C174" s="1"/>
      <c r="D174" s="1"/>
    </row>
    <row r="175" spans="2:4" x14ac:dyDescent="0.25">
      <c r="B175" s="1"/>
      <c r="C175" s="1"/>
      <c r="D175" s="1"/>
    </row>
    <row r="176" spans="2:4" x14ac:dyDescent="0.25">
      <c r="B176" s="1"/>
      <c r="C176" s="1"/>
      <c r="D176" s="1"/>
    </row>
    <row r="177" spans="2:4" x14ac:dyDescent="0.25">
      <c r="B177" s="1"/>
      <c r="C177" s="1"/>
      <c r="D177" s="1"/>
    </row>
    <row r="178" spans="2:4" x14ac:dyDescent="0.25">
      <c r="B178" s="1"/>
      <c r="C178" s="1"/>
      <c r="D178" s="1"/>
    </row>
    <row r="179" spans="2:4" x14ac:dyDescent="0.25">
      <c r="B179" s="1"/>
      <c r="C179" s="1"/>
      <c r="D179" s="1"/>
    </row>
    <row r="180" spans="2:4" x14ac:dyDescent="0.25">
      <c r="B180" s="1"/>
      <c r="C180" s="1"/>
      <c r="D180" s="1"/>
    </row>
    <row r="181" spans="2:4" x14ac:dyDescent="0.25">
      <c r="B181" s="1"/>
      <c r="C181" s="1"/>
      <c r="D181" s="1"/>
    </row>
    <row r="182" spans="2:4" x14ac:dyDescent="0.25">
      <c r="B182" s="1"/>
      <c r="C182" s="1"/>
      <c r="D182" s="1"/>
    </row>
    <row r="183" spans="2:4" x14ac:dyDescent="0.25">
      <c r="B183" s="1"/>
      <c r="C183" s="1"/>
      <c r="D183" s="1"/>
    </row>
    <row r="184" spans="2:4" x14ac:dyDescent="0.25">
      <c r="B184" s="1"/>
      <c r="C184" s="1"/>
      <c r="D184" s="1"/>
    </row>
    <row r="185" spans="2:4" x14ac:dyDescent="0.25">
      <c r="B185" s="1"/>
      <c r="C185" s="1"/>
      <c r="D185" s="1"/>
    </row>
    <row r="186" spans="2:4" x14ac:dyDescent="0.25">
      <c r="B186" s="1"/>
      <c r="C186" s="1"/>
      <c r="D186" s="1"/>
    </row>
    <row r="187" spans="2:4" x14ac:dyDescent="0.25">
      <c r="B187" s="1"/>
      <c r="C187" s="1"/>
      <c r="D187" s="1"/>
    </row>
    <row r="188" spans="2:4" x14ac:dyDescent="0.25">
      <c r="B188" s="1"/>
      <c r="C188" s="1"/>
      <c r="D188" s="1"/>
    </row>
    <row r="189" spans="2:4" x14ac:dyDescent="0.25">
      <c r="B189" s="1"/>
      <c r="C189" s="1"/>
      <c r="D189" s="1"/>
    </row>
    <row r="190" spans="2:4" x14ac:dyDescent="0.25">
      <c r="B190" s="1"/>
      <c r="C190" s="1"/>
      <c r="D190" s="1"/>
    </row>
    <row r="191" spans="2:4" x14ac:dyDescent="0.25">
      <c r="B191" s="1"/>
      <c r="C191" s="1"/>
      <c r="D191" s="1"/>
    </row>
    <row r="192" spans="2:4" x14ac:dyDescent="0.25">
      <c r="B192" s="1"/>
      <c r="C192" s="1"/>
      <c r="D192" s="1"/>
    </row>
    <row r="193" spans="2:4" x14ac:dyDescent="0.25">
      <c r="B193" s="1"/>
      <c r="C193" s="1"/>
      <c r="D193" s="1"/>
    </row>
    <row r="194" spans="2:4" x14ac:dyDescent="0.25">
      <c r="B194" s="1"/>
      <c r="C194" s="1"/>
      <c r="D194" s="1"/>
    </row>
    <row r="195" spans="2:4" x14ac:dyDescent="0.25">
      <c r="B195" s="1"/>
      <c r="C195" s="1"/>
      <c r="D195" s="1"/>
    </row>
    <row r="196" spans="2:4" x14ac:dyDescent="0.25">
      <c r="B196" s="1"/>
      <c r="C196" s="1"/>
      <c r="D196" s="1"/>
    </row>
    <row r="197" spans="2:4" x14ac:dyDescent="0.25">
      <c r="B197" s="1"/>
      <c r="C197" s="1"/>
      <c r="D197" s="1"/>
    </row>
    <row r="198" spans="2:4" x14ac:dyDescent="0.25">
      <c r="B198" s="1"/>
      <c r="C198" s="1"/>
      <c r="D198" s="1"/>
    </row>
    <row r="199" spans="2:4" x14ac:dyDescent="0.25">
      <c r="B199" s="1"/>
      <c r="C199" s="1"/>
      <c r="D199" s="1"/>
    </row>
    <row r="200" spans="2:4" x14ac:dyDescent="0.25">
      <c r="B200" s="1"/>
      <c r="C200" s="1"/>
      <c r="D200" s="1"/>
    </row>
    <row r="201" spans="2:4" x14ac:dyDescent="0.25">
      <c r="B201" s="1"/>
      <c r="C201" s="1"/>
      <c r="D201" s="1"/>
    </row>
    <row r="202" spans="2:4" x14ac:dyDescent="0.25">
      <c r="B202" s="1"/>
      <c r="C202" s="1"/>
      <c r="D202" s="1"/>
    </row>
    <row r="203" spans="2:4" x14ac:dyDescent="0.25">
      <c r="B203" s="1"/>
      <c r="C203" s="1"/>
      <c r="D203" s="1"/>
    </row>
    <row r="204" spans="2:4" x14ac:dyDescent="0.25">
      <c r="B204" s="1"/>
      <c r="C204" s="1"/>
      <c r="D204" s="1"/>
    </row>
    <row r="205" spans="2:4" x14ac:dyDescent="0.25">
      <c r="B205" s="1"/>
      <c r="C205" s="1"/>
      <c r="D205" s="1"/>
    </row>
    <row r="206" spans="2:4" x14ac:dyDescent="0.25">
      <c r="B206" s="1"/>
      <c r="C206" s="1"/>
      <c r="D206" s="1"/>
    </row>
    <row r="207" spans="2:4" x14ac:dyDescent="0.25">
      <c r="B207" s="1"/>
      <c r="C207" s="1"/>
      <c r="D207" s="1"/>
    </row>
    <row r="208" spans="2:4" x14ac:dyDescent="0.25">
      <c r="B208" s="1"/>
      <c r="C208" s="1"/>
      <c r="D208" s="1"/>
    </row>
    <row r="209" spans="2:4" x14ac:dyDescent="0.25">
      <c r="B209" s="1"/>
      <c r="C209" s="1"/>
      <c r="D209" s="1"/>
    </row>
    <row r="210" spans="2:4" x14ac:dyDescent="0.25">
      <c r="B210" s="1"/>
      <c r="C210" s="1"/>
      <c r="D210" s="1"/>
    </row>
    <row r="211" spans="2:4" x14ac:dyDescent="0.25">
      <c r="B211" s="1"/>
      <c r="C211" s="1"/>
      <c r="D211" s="1"/>
    </row>
    <row r="212" spans="2:4" x14ac:dyDescent="0.25">
      <c r="B212" s="1"/>
      <c r="C212" s="1"/>
      <c r="D212" s="1"/>
    </row>
    <row r="213" spans="2:4" x14ac:dyDescent="0.25">
      <c r="B213" s="1"/>
      <c r="C213" s="1"/>
      <c r="D213" s="1"/>
    </row>
    <row r="214" spans="2:4" x14ac:dyDescent="0.25">
      <c r="B214" s="1"/>
      <c r="C214" s="1"/>
      <c r="D214" s="1"/>
    </row>
    <row r="215" spans="2:4" x14ac:dyDescent="0.25">
      <c r="B215" s="1"/>
      <c r="C215" s="1"/>
      <c r="D215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O51"/>
  <sheetViews>
    <sheetView tabSelected="1" topLeftCell="A4" zoomScale="85" zoomScaleNormal="85" zoomScaleSheetLayoutView="100" workbookViewId="0">
      <selection activeCell="I28" sqref="I28"/>
    </sheetView>
  </sheetViews>
  <sheetFormatPr baseColWidth="10" defaultRowHeight="15" x14ac:dyDescent="0.25"/>
  <cols>
    <col min="1" max="1" width="7.85546875" style="110" customWidth="1"/>
    <col min="2" max="2" width="33.85546875" style="110" customWidth="1"/>
    <col min="3" max="3" width="9.140625" style="110" customWidth="1"/>
    <col min="4" max="4" width="11.42578125" style="110"/>
    <col min="5" max="5" width="10.85546875" style="111" customWidth="1"/>
    <col min="6" max="6" width="12.5703125" style="110" customWidth="1"/>
    <col min="7" max="16384" width="11.42578125" style="110"/>
  </cols>
  <sheetData>
    <row r="1" spans="1:6" ht="21.75" customHeight="1" x14ac:dyDescent="0.25">
      <c r="A1" s="106" t="s">
        <v>412</v>
      </c>
      <c r="B1" s="106"/>
      <c r="C1" s="106"/>
      <c r="D1" s="106"/>
      <c r="E1" s="106"/>
      <c r="F1" s="106"/>
    </row>
    <row r="2" spans="1:6" ht="30" customHeight="1" x14ac:dyDescent="0.25">
      <c r="A2" s="106" t="s">
        <v>411</v>
      </c>
      <c r="B2" s="106"/>
      <c r="C2" s="106"/>
      <c r="D2" s="106"/>
      <c r="E2" s="106"/>
      <c r="F2" s="106"/>
    </row>
    <row r="3" spans="1:6" x14ac:dyDescent="0.25">
      <c r="A3" s="106" t="s">
        <v>410</v>
      </c>
      <c r="B3" s="106"/>
      <c r="C3" s="106"/>
      <c r="D3" s="106"/>
      <c r="E3" s="106"/>
      <c r="F3" s="106"/>
    </row>
    <row r="4" spans="1:6" x14ac:dyDescent="0.25">
      <c r="A4" s="106"/>
      <c r="B4" s="106"/>
      <c r="C4" s="106"/>
      <c r="D4" s="106"/>
      <c r="E4" s="106"/>
      <c r="F4" s="106"/>
    </row>
    <row r="5" spans="1:6" ht="15.75" thickBot="1" x14ac:dyDescent="0.3"/>
    <row r="6" spans="1:6" ht="15.75" thickBot="1" x14ac:dyDescent="0.3">
      <c r="A6" s="112" t="s">
        <v>396</v>
      </c>
      <c r="B6" s="113" t="s">
        <v>397</v>
      </c>
      <c r="C6" s="113" t="s">
        <v>398</v>
      </c>
      <c r="D6" s="113" t="s">
        <v>399</v>
      </c>
      <c r="E6" s="114" t="s">
        <v>402</v>
      </c>
      <c r="F6" s="115" t="s">
        <v>403</v>
      </c>
    </row>
    <row r="7" spans="1:6" ht="20.25" customHeight="1" x14ac:dyDescent="0.25">
      <c r="A7" s="107">
        <v>1</v>
      </c>
      <c r="B7" s="116" t="s">
        <v>401</v>
      </c>
      <c r="C7" s="117"/>
      <c r="D7" s="117"/>
      <c r="E7" s="117"/>
      <c r="F7" s="118"/>
    </row>
    <row r="8" spans="1:6" ht="21.75" customHeight="1" thickBot="1" x14ac:dyDescent="0.3">
      <c r="A8" s="108" t="s">
        <v>388</v>
      </c>
      <c r="B8" s="119" t="s">
        <v>400</v>
      </c>
      <c r="C8" s="120" t="s">
        <v>9</v>
      </c>
      <c r="D8" s="121">
        <v>1</v>
      </c>
      <c r="E8" s="122"/>
      <c r="F8" s="123">
        <f>+E8*D8</f>
        <v>0</v>
      </c>
    </row>
    <row r="9" spans="1:6" ht="18" customHeight="1" x14ac:dyDescent="0.25">
      <c r="A9" s="107">
        <v>2</v>
      </c>
      <c r="B9" s="116" t="s">
        <v>404</v>
      </c>
      <c r="C9" s="117"/>
      <c r="D9" s="117"/>
      <c r="E9" s="117"/>
      <c r="F9" s="118"/>
    </row>
    <row r="10" spans="1:6" ht="45" x14ac:dyDescent="0.25">
      <c r="A10" s="108" t="s">
        <v>384</v>
      </c>
      <c r="B10" s="119" t="s">
        <v>408</v>
      </c>
      <c r="C10" s="120" t="s">
        <v>32</v>
      </c>
      <c r="D10" s="120">
        <v>16</v>
      </c>
      <c r="E10" s="122"/>
      <c r="F10" s="123">
        <f t="shared" ref="F10:F11" si="0">+E10*D10</f>
        <v>0</v>
      </c>
    </row>
    <row r="11" spans="1:6" ht="46.5" customHeight="1" x14ac:dyDescent="0.25">
      <c r="A11" s="108" t="s">
        <v>405</v>
      </c>
      <c r="B11" s="119" t="s">
        <v>409</v>
      </c>
      <c r="C11" s="120" t="s">
        <v>32</v>
      </c>
      <c r="D11" s="120">
        <v>4</v>
      </c>
      <c r="E11" s="122"/>
      <c r="F11" s="123">
        <f t="shared" si="0"/>
        <v>0</v>
      </c>
    </row>
    <row r="12" spans="1:6" ht="33" customHeight="1" thickBot="1" x14ac:dyDescent="0.3">
      <c r="A12" s="108" t="s">
        <v>406</v>
      </c>
      <c r="B12" s="119" t="s">
        <v>407</v>
      </c>
      <c r="C12" s="120" t="s">
        <v>35</v>
      </c>
      <c r="D12" s="120">
        <v>1</v>
      </c>
      <c r="E12" s="122"/>
      <c r="F12" s="123">
        <f t="shared" ref="F12" si="1">+E12*D12</f>
        <v>0</v>
      </c>
    </row>
    <row r="13" spans="1:6" ht="21" customHeight="1" x14ac:dyDescent="0.25">
      <c r="A13" s="107">
        <v>3</v>
      </c>
      <c r="B13" s="116" t="s">
        <v>387</v>
      </c>
      <c r="C13" s="117"/>
      <c r="D13" s="117"/>
      <c r="E13" s="117"/>
      <c r="F13" s="118"/>
    </row>
    <row r="14" spans="1:6" ht="24" customHeight="1" thickBot="1" x14ac:dyDescent="0.3">
      <c r="A14" s="109" t="s">
        <v>385</v>
      </c>
      <c r="B14" s="124" t="s">
        <v>386</v>
      </c>
      <c r="C14" s="125" t="s">
        <v>9</v>
      </c>
      <c r="D14" s="125">
        <v>1</v>
      </c>
      <c r="E14" s="126"/>
      <c r="F14" s="127">
        <f t="shared" ref="F14" si="2">+E14*D14</f>
        <v>0</v>
      </c>
    </row>
    <row r="15" spans="1:6" ht="15.75" thickBot="1" x14ac:dyDescent="0.3"/>
    <row r="16" spans="1:6" ht="20.25" customHeight="1" thickBot="1" x14ac:dyDescent="0.3">
      <c r="A16" s="128"/>
      <c r="B16" s="129" t="s">
        <v>395</v>
      </c>
      <c r="C16" s="130"/>
      <c r="D16" s="130"/>
      <c r="E16" s="130"/>
      <c r="F16" s="131">
        <f>SUM(F8:F14)</f>
        <v>0</v>
      </c>
    </row>
    <row r="17" spans="1:15" ht="15.75" thickBot="1" x14ac:dyDescent="0.3"/>
    <row r="18" spans="1:15" ht="19.5" customHeight="1" x14ac:dyDescent="0.25">
      <c r="A18" s="132"/>
      <c r="B18" s="133" t="s">
        <v>390</v>
      </c>
      <c r="C18" s="134" t="s">
        <v>391</v>
      </c>
      <c r="D18" s="134"/>
      <c r="E18" s="135"/>
      <c r="F18" s="136">
        <f>+F16*D18/100</f>
        <v>0</v>
      </c>
    </row>
    <row r="19" spans="1:15" ht="19.5" customHeight="1" x14ac:dyDescent="0.25">
      <c r="A19" s="137"/>
      <c r="B19" s="138" t="s">
        <v>392</v>
      </c>
      <c r="C19" s="139" t="s">
        <v>391</v>
      </c>
      <c r="D19" s="139"/>
      <c r="E19" s="122"/>
      <c r="F19" s="123">
        <f>+F16*D19/100</f>
        <v>0</v>
      </c>
      <c r="H19" s="140"/>
    </row>
    <row r="20" spans="1:15" ht="19.5" customHeight="1" thickBot="1" x14ac:dyDescent="0.3">
      <c r="A20" s="137"/>
      <c r="B20" s="138" t="s">
        <v>394</v>
      </c>
      <c r="C20" s="139" t="s">
        <v>391</v>
      </c>
      <c r="D20" s="139"/>
      <c r="E20" s="141"/>
      <c r="F20" s="123">
        <f>+F16*D20/100</f>
        <v>0</v>
      </c>
      <c r="H20" s="140"/>
    </row>
    <row r="21" spans="1:15" ht="21.75" customHeight="1" thickBot="1" x14ac:dyDescent="0.3">
      <c r="A21" s="128"/>
      <c r="B21" s="129" t="s">
        <v>389</v>
      </c>
      <c r="C21" s="130"/>
      <c r="D21" s="130"/>
      <c r="E21" s="130"/>
      <c r="F21" s="131">
        <f>+F16+F18+F19+F20</f>
        <v>0</v>
      </c>
      <c r="H21" s="140"/>
    </row>
    <row r="22" spans="1:15" ht="21.75" customHeight="1" thickBot="1" x14ac:dyDescent="0.3">
      <c r="A22" s="137"/>
      <c r="B22" s="138" t="s">
        <v>393</v>
      </c>
      <c r="C22" s="139" t="s">
        <v>391</v>
      </c>
      <c r="D22" s="139">
        <v>19</v>
      </c>
      <c r="E22" s="122"/>
      <c r="F22" s="123">
        <f>+D22*F21/100</f>
        <v>0</v>
      </c>
      <c r="H22" s="142"/>
    </row>
    <row r="23" spans="1:15" ht="21.75" customHeight="1" thickBot="1" x14ac:dyDescent="0.3">
      <c r="A23" s="128"/>
      <c r="B23" s="129" t="s">
        <v>245</v>
      </c>
      <c r="C23" s="130"/>
      <c r="D23" s="130"/>
      <c r="E23" s="130"/>
      <c r="F23" s="131">
        <f>+F21+F22</f>
        <v>0</v>
      </c>
    </row>
    <row r="24" spans="1:15" x14ac:dyDescent="0.25">
      <c r="E24" s="110"/>
    </row>
    <row r="25" spans="1:15" x14ac:dyDescent="0.25">
      <c r="E25" s="110"/>
    </row>
    <row r="26" spans="1:15" s="147" customFormat="1" ht="17.100000000000001" customHeight="1" x14ac:dyDescent="0.15">
      <c r="A26" s="153" t="s">
        <v>413</v>
      </c>
      <c r="B26" s="144"/>
      <c r="C26" s="143"/>
      <c r="D26" s="145"/>
      <c r="E26" s="143"/>
      <c r="F26" s="143"/>
      <c r="G26" s="146"/>
      <c r="I26" s="148"/>
      <c r="J26" s="149"/>
      <c r="M26" s="150"/>
      <c r="N26" s="151"/>
      <c r="O26" s="148"/>
    </row>
    <row r="27" spans="1:15" s="147" customFormat="1" ht="17.100000000000001" customHeight="1" x14ac:dyDescent="0.15">
      <c r="A27" s="153" t="s">
        <v>415</v>
      </c>
      <c r="B27" s="144"/>
      <c r="C27" s="143"/>
      <c r="D27" s="145"/>
      <c r="E27" s="143"/>
      <c r="F27" s="143"/>
      <c r="G27" s="146"/>
      <c r="I27" s="148"/>
      <c r="J27" s="149"/>
      <c r="M27" s="150"/>
      <c r="N27" s="151"/>
      <c r="O27" s="148"/>
    </row>
    <row r="28" spans="1:15" s="147" customFormat="1" ht="17.100000000000001" customHeight="1" x14ac:dyDescent="0.15">
      <c r="A28" s="153" t="s">
        <v>414</v>
      </c>
      <c r="B28" s="152"/>
      <c r="C28" s="143"/>
      <c r="D28" s="145"/>
      <c r="E28" s="143"/>
      <c r="F28" s="143"/>
      <c r="G28" s="146"/>
      <c r="I28" s="148"/>
      <c r="J28" s="149"/>
      <c r="M28" s="150"/>
      <c r="N28" s="151"/>
      <c r="O28" s="148"/>
    </row>
    <row r="29" spans="1:15" x14ac:dyDescent="0.25">
      <c r="E29" s="110"/>
    </row>
    <row r="30" spans="1:15" x14ac:dyDescent="0.25">
      <c r="E30" s="110"/>
    </row>
    <row r="31" spans="1:15" x14ac:dyDescent="0.25">
      <c r="E31" s="110"/>
    </row>
    <row r="32" spans="1:15" x14ac:dyDescent="0.25">
      <c r="E32" s="110"/>
    </row>
    <row r="33" spans="5:5" x14ac:dyDescent="0.25">
      <c r="E33" s="110"/>
    </row>
    <row r="34" spans="5:5" x14ac:dyDescent="0.25">
      <c r="E34" s="110"/>
    </row>
    <row r="35" spans="5:5" x14ac:dyDescent="0.25">
      <c r="E35" s="110"/>
    </row>
    <row r="36" spans="5:5" x14ac:dyDescent="0.25">
      <c r="E36" s="110"/>
    </row>
    <row r="37" spans="5:5" x14ac:dyDescent="0.25">
      <c r="E37" s="110"/>
    </row>
    <row r="38" spans="5:5" x14ac:dyDescent="0.25">
      <c r="E38" s="110"/>
    </row>
    <row r="39" spans="5:5" x14ac:dyDescent="0.25">
      <c r="E39" s="110"/>
    </row>
    <row r="40" spans="5:5" x14ac:dyDescent="0.25">
      <c r="E40" s="110"/>
    </row>
    <row r="41" spans="5:5" x14ac:dyDescent="0.25">
      <c r="E41" s="110"/>
    </row>
    <row r="42" spans="5:5" x14ac:dyDescent="0.25">
      <c r="E42" s="110"/>
    </row>
    <row r="43" spans="5:5" x14ac:dyDescent="0.25">
      <c r="E43" s="110"/>
    </row>
    <row r="44" spans="5:5" x14ac:dyDescent="0.25">
      <c r="E44" s="110"/>
    </row>
    <row r="45" spans="5:5" x14ac:dyDescent="0.25">
      <c r="E45" s="110"/>
    </row>
    <row r="46" spans="5:5" x14ac:dyDescent="0.25">
      <c r="E46" s="110"/>
    </row>
    <row r="47" spans="5:5" x14ac:dyDescent="0.25">
      <c r="E47" s="110"/>
    </row>
    <row r="48" spans="5:5" x14ac:dyDescent="0.25">
      <c r="E48" s="110"/>
    </row>
    <row r="49" spans="5:5" x14ac:dyDescent="0.25">
      <c r="E49" s="110"/>
    </row>
    <row r="50" spans="5:5" x14ac:dyDescent="0.25">
      <c r="E50" s="110"/>
    </row>
    <row r="51" spans="5:5" x14ac:dyDescent="0.25">
      <c r="E51" s="110"/>
    </row>
  </sheetData>
  <mergeCells count="4">
    <mergeCell ref="A1:F1"/>
    <mergeCell ref="A3:F3"/>
    <mergeCell ref="A4:F4"/>
    <mergeCell ref="A2:F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01 Mesanina Andén Alt 1</vt:lpstr>
      <vt:lpstr>01 Mesanina Andén Alt 2</vt:lpstr>
      <vt:lpstr>01 Superficie Mesanina</vt:lpstr>
      <vt:lpstr>01 PARTIDAS Y PRECIOS</vt:lpstr>
      <vt:lpstr>Oferta El Llano</vt:lpstr>
      <vt:lpstr>'Oferta El Llano'!Área_de_impresión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2017-04-16T22:55:33Z</dcterms:modified>
</cp:coreProperties>
</file>